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5" yWindow="435" windowWidth="11340" windowHeight="4560" tabRatio="898" activeTab="3"/>
  </bookViews>
  <sheets>
    <sheet name="Расчет (предшк.подготовка)" sheetId="1" r:id="rId1"/>
    <sheet name="калькуляция (предшк.подгот.)" sheetId="2" r:id="rId2"/>
    <sheet name="резерв (предшк.подгот)" sheetId="3" r:id="rId3"/>
    <sheet name="Расчет (углуб.изуч.)" sheetId="4" r:id="rId4"/>
    <sheet name="калькуляция (углуб.изуч.)" sheetId="5" r:id="rId5"/>
    <sheet name="резерв (углуб.изуч.)" sheetId="6" r:id="rId6"/>
    <sheet name="СВОД" sheetId="7" r:id="rId7"/>
    <sheet name="Свод (резерв)" sheetId="8" r:id="rId8"/>
    <sheet name="Лист1" sheetId="9" r:id="rId9"/>
  </sheets>
  <definedNames>
    <definedName name="_xlnm.Print_Area" localSheetId="1">'калькуляция (предшк.подгот.)'!$B$1:$P$76</definedName>
    <definedName name="_xlnm.Print_Area" localSheetId="0">'Расчет (предшк.подготовка)'!$B$1:$K$76</definedName>
    <definedName name="_xlnm.Print_Area" localSheetId="3">'Расчет (углуб.изуч.)'!$B$1:$L$77</definedName>
    <definedName name="_xlnm.Print_Area" localSheetId="6">'СВОД'!$B$1:$L$76</definedName>
  </definedNames>
  <calcPr fullCalcOnLoad="1" fullPrecision="0"/>
</workbook>
</file>

<file path=xl/comments1.xml><?xml version="1.0" encoding="utf-8"?>
<comments xmlns="http://schemas.openxmlformats.org/spreadsheetml/2006/main">
  <authors>
    <author>Пользователь</author>
  </authors>
  <commentList>
    <comment ref="H12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11 недель в квартале/ 4 недели в месяце</t>
        </r>
      </text>
    </comment>
  </commentList>
</comments>
</file>

<file path=xl/comments3.xml><?xml version="1.0" encoding="utf-8"?>
<comments xmlns="http://schemas.openxmlformats.org/spreadsheetml/2006/main">
  <authors>
    <author>Елена Михайловна Алексеева</author>
  </authors>
  <commentList>
    <comment ref="D13" authorId="0">
      <text>
        <r>
          <rPr>
            <b/>
            <sz val="9"/>
            <rFont val="Tahoma"/>
            <family val="2"/>
          </rPr>
          <t>Елена Михайловна Алексеева:</t>
        </r>
        <r>
          <rPr>
            <sz val="9"/>
            <rFont val="Tahoma"/>
            <family val="2"/>
          </rPr>
          <t xml:space="preserve">
з/п за месяц*кол-во месяцев</t>
        </r>
      </text>
    </comment>
    <comment ref="D9" authorId="0">
      <text>
        <r>
          <rPr>
            <b/>
            <sz val="9"/>
            <rFont val="Tahoma"/>
            <family val="2"/>
          </rPr>
          <t>Елена Михайловна Алексеева:</t>
        </r>
        <r>
          <rPr>
            <sz val="9"/>
            <rFont val="Tahoma"/>
            <family val="2"/>
          </rPr>
          <t xml:space="preserve">
мес.фонд=деньги*чел.*часы</t>
        </r>
      </text>
    </comment>
  </commentList>
</comments>
</file>

<file path=xl/comments4.xml><?xml version="1.0" encoding="utf-8"?>
<comments xmlns="http://schemas.openxmlformats.org/spreadsheetml/2006/main">
  <authors>
    <author>Пользователь</author>
  </authors>
  <commentList>
    <comment ref="H12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11 недель в квартале/ 4 недели в месяце</t>
        </r>
      </text>
    </comment>
  </commentList>
</comments>
</file>

<file path=xl/comments6.xml><?xml version="1.0" encoding="utf-8"?>
<comments xmlns="http://schemas.openxmlformats.org/spreadsheetml/2006/main">
  <authors>
    <author>Елена Михайловна Алексеева</author>
  </authors>
  <commentList>
    <comment ref="D9" authorId="0">
      <text>
        <r>
          <rPr>
            <b/>
            <sz val="9"/>
            <rFont val="Tahoma"/>
            <family val="2"/>
          </rPr>
          <t>Елена Михайловна Алексеева:</t>
        </r>
        <r>
          <rPr>
            <sz val="9"/>
            <rFont val="Tahoma"/>
            <family val="2"/>
          </rPr>
          <t xml:space="preserve">
мес.фонд(деньги*чел.*группы)</t>
        </r>
      </text>
    </comment>
    <comment ref="D13" authorId="0">
      <text>
        <r>
          <rPr>
            <b/>
            <sz val="9"/>
            <rFont val="Tahoma"/>
            <family val="2"/>
          </rPr>
          <t>Елена Михайловна Алексеева:</t>
        </r>
        <r>
          <rPr>
            <sz val="9"/>
            <rFont val="Tahoma"/>
            <family val="2"/>
          </rPr>
          <t xml:space="preserve">
з/п за месяц*кол-во месяцев</t>
        </r>
      </text>
    </comment>
  </commentList>
</comments>
</file>

<file path=xl/comments7.xml><?xml version="1.0" encoding="utf-8"?>
<comments xmlns="http://schemas.openxmlformats.org/spreadsheetml/2006/main">
  <authors>
    <author>Пользователь</author>
  </authors>
  <commentList>
    <comment ref="H12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11 недель в квартале/ 4 недели в месяце</t>
        </r>
      </text>
    </comment>
  </commentList>
</comments>
</file>

<file path=xl/comments8.xml><?xml version="1.0" encoding="utf-8"?>
<comments xmlns="http://schemas.openxmlformats.org/spreadsheetml/2006/main">
  <authors>
    <author>Елена Михайловна Алексеева</author>
  </authors>
  <commentList>
    <comment ref="D9" authorId="0">
      <text>
        <r>
          <rPr>
            <b/>
            <sz val="9"/>
            <rFont val="Tahoma"/>
            <family val="2"/>
          </rPr>
          <t>Елена Михайловна Алексеева:</t>
        </r>
        <r>
          <rPr>
            <sz val="9"/>
            <rFont val="Tahoma"/>
            <family val="2"/>
          </rPr>
          <t xml:space="preserve">
мес.фонд=деньги*чел.*часы</t>
        </r>
      </text>
    </comment>
    <comment ref="D13" authorId="0">
      <text>
        <r>
          <rPr>
            <b/>
            <sz val="9"/>
            <rFont val="Tahoma"/>
            <family val="2"/>
          </rPr>
          <t>Елена Михайловна Алексеева:</t>
        </r>
        <r>
          <rPr>
            <sz val="9"/>
            <rFont val="Tahoma"/>
            <family val="2"/>
          </rPr>
          <t xml:space="preserve">
з/п за месяц*кол-во месяцев</t>
        </r>
      </text>
    </comment>
  </commentList>
</comments>
</file>

<file path=xl/sharedStrings.xml><?xml version="1.0" encoding="utf-8"?>
<sst xmlns="http://schemas.openxmlformats.org/spreadsheetml/2006/main" count="463" uniqueCount="172">
  <si>
    <t>руб.</t>
  </si>
  <si>
    <t>оплата отопления  и технологических нужд</t>
  </si>
  <si>
    <t>(</t>
  </si>
  <si>
    <t>гк. * 313,408 р. с НДС+</t>
  </si>
  <si>
    <t xml:space="preserve">тн. * 2,9854 руб.) </t>
  </si>
  <si>
    <t>услуга(</t>
  </si>
  <si>
    <t>гк. * 59,0472 р.  (тариф с НДС)</t>
  </si>
  <si>
    <t>оплата потребления электрической энергии</t>
  </si>
  <si>
    <t>оплата водоснабжения помещений</t>
  </si>
  <si>
    <t xml:space="preserve">   водоснабжения</t>
  </si>
  <si>
    <t xml:space="preserve">   водоотвведение</t>
  </si>
  <si>
    <t>оплата содержания помещений</t>
  </si>
  <si>
    <t xml:space="preserve">   спецавтохозяйство</t>
  </si>
  <si>
    <t>куб.м. * 12 мес. * 53,1 руб. * 1,18 ндс</t>
  </si>
  <si>
    <t>оплата текущего ремонта зданий и помещений</t>
  </si>
  <si>
    <t>приобретение инструмента и инвентаря</t>
  </si>
  <si>
    <t>за счет  доходов от аренды</t>
  </si>
  <si>
    <t>приобретение запасных частей</t>
  </si>
  <si>
    <t>оплата продуктов питания</t>
  </si>
  <si>
    <t>оплата спец.топлива и ГСМ</t>
  </si>
  <si>
    <t>оплата расходных материалов и предметов снабжения.</t>
  </si>
  <si>
    <t xml:space="preserve">   медикаменты </t>
  </si>
  <si>
    <t xml:space="preserve">   канцелярские товары</t>
  </si>
  <si>
    <t>руб</t>
  </si>
  <si>
    <t xml:space="preserve">   оплата классных журналов</t>
  </si>
  <si>
    <t xml:space="preserve">   хозяйственные товары</t>
  </si>
  <si>
    <t xml:space="preserve">   моющие средства</t>
  </si>
  <si>
    <t>оплата текущих расходов на ремонт здания</t>
  </si>
  <si>
    <t>Учреждение</t>
  </si>
  <si>
    <r>
      <t xml:space="preserve">                               </t>
    </r>
    <r>
      <rPr>
        <b/>
        <i/>
        <sz val="12"/>
        <rFont val="Times New Roman"/>
        <family val="1"/>
      </rPr>
      <t xml:space="preserve"> Подстатья 211</t>
    </r>
    <r>
      <rPr>
        <b/>
        <sz val="12"/>
        <rFont val="Times New Roman"/>
        <family val="1"/>
      </rPr>
      <t xml:space="preserve"> "Заработная плата"</t>
    </r>
  </si>
  <si>
    <t xml:space="preserve">           Расчет суммы в год </t>
  </si>
  <si>
    <t xml:space="preserve">1 квартал </t>
  </si>
  <si>
    <t xml:space="preserve">2 квартал </t>
  </si>
  <si>
    <t xml:space="preserve">3 квартал </t>
  </si>
  <si>
    <t xml:space="preserve">4 квартал </t>
  </si>
  <si>
    <r>
      <t xml:space="preserve">                               </t>
    </r>
    <r>
      <rPr>
        <i/>
        <sz val="12"/>
        <rFont val="Times New Roman"/>
        <family val="1"/>
      </rPr>
      <t xml:space="preserve"> Подстатья 211</t>
    </r>
    <r>
      <rPr>
        <sz val="12"/>
        <rFont val="Times New Roman"/>
        <family val="1"/>
      </rPr>
      <t xml:space="preserve"> "Заработная плата"</t>
    </r>
  </si>
  <si>
    <r>
      <t xml:space="preserve">  </t>
    </r>
    <r>
      <rPr>
        <i/>
        <sz val="14"/>
        <rFont val="Times New Roman"/>
        <family val="1"/>
      </rPr>
      <t xml:space="preserve"> Подстатья 211</t>
    </r>
    <r>
      <rPr>
        <sz val="14"/>
        <rFont val="Times New Roman"/>
        <family val="1"/>
      </rPr>
      <t xml:space="preserve"> "Заработная плата"</t>
    </r>
  </si>
  <si>
    <r>
      <t xml:space="preserve"> </t>
    </r>
    <r>
      <rPr>
        <i/>
        <sz val="14"/>
        <rFont val="Times New Roman"/>
        <family val="1"/>
      </rPr>
      <t xml:space="preserve"> Подстатья 212</t>
    </r>
    <r>
      <rPr>
        <sz val="14"/>
        <rFont val="Times New Roman"/>
        <family val="1"/>
      </rPr>
      <t xml:space="preserve"> "Прочие выплаты"</t>
    </r>
  </si>
  <si>
    <r>
      <t xml:space="preserve"> </t>
    </r>
    <r>
      <rPr>
        <i/>
        <sz val="14"/>
        <rFont val="Times New Roman"/>
        <family val="1"/>
      </rPr>
      <t xml:space="preserve"> Подстатья 213</t>
    </r>
    <r>
      <rPr>
        <sz val="14"/>
        <rFont val="Times New Roman"/>
        <family val="1"/>
      </rPr>
      <t xml:space="preserve"> "Начисления на оплату труда"</t>
    </r>
  </si>
  <si>
    <r>
      <t>Подстатья 221</t>
    </r>
    <r>
      <rPr>
        <sz val="12"/>
        <rFont val="Times New Roman"/>
        <family val="1"/>
      </rPr>
      <t xml:space="preserve"> "Услуги связи"</t>
    </r>
  </si>
  <si>
    <r>
      <t>Подстатья 222</t>
    </r>
    <r>
      <rPr>
        <sz val="12"/>
        <rFont val="Times New Roman"/>
        <family val="1"/>
      </rPr>
      <t xml:space="preserve"> "Транспортные услуги"</t>
    </r>
  </si>
  <si>
    <t>Подстатья 224  "Арендная плата за  пользованием имуществом"</t>
  </si>
  <si>
    <t>Подстатья 225   "Услуги по содержанию имущества"</t>
  </si>
  <si>
    <r>
      <t>Подстатья 226  "</t>
    </r>
    <r>
      <rPr>
        <sz val="14"/>
        <rFont val="Times New Roman"/>
        <family val="1"/>
      </rPr>
      <t>Прочие услуги"</t>
    </r>
  </si>
  <si>
    <r>
      <t>Подстатья 340 "</t>
    </r>
    <r>
      <rPr>
        <sz val="12"/>
        <rFont val="Times New Roman"/>
        <family val="1"/>
      </rPr>
      <t>Увеличение стоимости  материальных запасов"</t>
    </r>
  </si>
  <si>
    <r>
      <t>Подстатья 310 "</t>
    </r>
    <r>
      <rPr>
        <sz val="12"/>
        <rFont val="Times New Roman"/>
        <family val="1"/>
      </rPr>
      <t>Увеличение стоимости основных средств"</t>
    </r>
  </si>
  <si>
    <t xml:space="preserve">Директор школы </t>
  </si>
  <si>
    <t>проверка</t>
  </si>
  <si>
    <t xml:space="preserve">дополнительно на компьютерный класс </t>
  </si>
  <si>
    <t xml:space="preserve">  кол-во компьтеров * мощность</t>
  </si>
  <si>
    <t xml:space="preserve">* 0,976 руб *1,18* кол-во занятий </t>
  </si>
  <si>
    <t>калькул</t>
  </si>
  <si>
    <t>за 1 час</t>
  </si>
  <si>
    <t xml:space="preserve">       Количество учащихся :</t>
  </si>
  <si>
    <t>кол-во групп</t>
  </si>
  <si>
    <t>кол-во часов в год</t>
  </si>
  <si>
    <t>договорная цена за 1 час</t>
  </si>
  <si>
    <t>С т а т ь и   р а с х о д о в</t>
  </si>
  <si>
    <r>
      <t>Подстатья 223 "</t>
    </r>
    <r>
      <rPr>
        <sz val="12"/>
        <rFont val="Times New Roman"/>
        <family val="1"/>
      </rPr>
      <t xml:space="preserve">Коммунальные услуги" </t>
    </r>
  </si>
  <si>
    <t>приобретение оборудования  и  техники, мебель</t>
  </si>
  <si>
    <t>мягкий инвентарь   Наглядные пособия</t>
  </si>
  <si>
    <t>число занятий в неделю на 1 уч-ся в 1 группе</t>
  </si>
  <si>
    <t xml:space="preserve">число недель занятий </t>
  </si>
  <si>
    <t>плата за обучение в год на 1 уч-ся</t>
  </si>
  <si>
    <t>плата за обучение учащихся</t>
  </si>
  <si>
    <t xml:space="preserve">куб.м. * 12,9 руб. * 1,18 </t>
  </si>
  <si>
    <t>куб.м. * 8,31 руб. * 1,18</t>
  </si>
  <si>
    <t>кв/час * 1,47692 руб. * 1,18</t>
  </si>
  <si>
    <t xml:space="preserve">   строительные материалы</t>
  </si>
  <si>
    <t xml:space="preserve">Калькуляцию составил специалист ЭО                     </t>
  </si>
  <si>
    <t>мес</t>
  </si>
  <si>
    <t>оплата услуг по гражданско-правовому договору</t>
  </si>
  <si>
    <t>оплата бухгалтерских услуг</t>
  </si>
  <si>
    <t xml:space="preserve">оплата тек обсл и ремонта техники и инвентаря </t>
  </si>
  <si>
    <t xml:space="preserve">1. Статья 210 "Оплата труда и начисления на оплату труда" </t>
  </si>
  <si>
    <t>2. Статья 220 "Приобретение услуг"</t>
  </si>
  <si>
    <t>3.  Статья 290  "Прочие расходы"</t>
  </si>
  <si>
    <t>4.  Статья 300. "Поступление нефинансовых активов"</t>
  </si>
  <si>
    <t>Петракевич Е.А.</t>
  </si>
  <si>
    <t>МБОУ " Школа № 31 "</t>
  </si>
  <si>
    <t>Культурно-массовые мероприятия</t>
  </si>
  <si>
    <t>"Предшкольная подготовка"</t>
  </si>
  <si>
    <t xml:space="preserve"> </t>
  </si>
  <si>
    <t xml:space="preserve">оплата банковских услуг </t>
  </si>
  <si>
    <t>Алексеева Е.М.</t>
  </si>
  <si>
    <t>2017 год</t>
  </si>
  <si>
    <t>Расчет доходов и расходов по   дополнительным платным образовательным услугам</t>
  </si>
  <si>
    <t xml:space="preserve">                 на     2017-2018  год</t>
  </si>
  <si>
    <t>2018 год</t>
  </si>
  <si>
    <t>УТВЕРЖДАЮ:</t>
  </si>
  <si>
    <t>"___"______________2017г.</t>
  </si>
  <si>
    <t>КАЛЬКУЛЯЦИЯ</t>
  </si>
  <si>
    <t xml:space="preserve">Муниципальное бюджетное общеобразовательное учреждение </t>
  </si>
  <si>
    <t>№</t>
  </si>
  <si>
    <t>Показатели</t>
  </si>
  <si>
    <t>Сумма в год</t>
  </si>
  <si>
    <t>Стоимость          1 чел.часа, руб.</t>
  </si>
  <si>
    <t>Прямые затраты, в том числе:</t>
  </si>
  <si>
    <t>1.1</t>
  </si>
  <si>
    <t>Оплата труда</t>
  </si>
  <si>
    <t>1.2</t>
  </si>
  <si>
    <t>Начисления на оплату труда</t>
  </si>
  <si>
    <t>1.3</t>
  </si>
  <si>
    <t>Резерв отпускных (включая ЕСН)</t>
  </si>
  <si>
    <t>1.4</t>
  </si>
  <si>
    <t>Приобретение оборудования, техники, мебели</t>
  </si>
  <si>
    <t>1.5</t>
  </si>
  <si>
    <t>Приобретение литературы</t>
  </si>
  <si>
    <t>Приобретение канцелярских товаров</t>
  </si>
  <si>
    <t>Приобретение инструмента и инвентаря</t>
  </si>
  <si>
    <t>Приобретение картриджей</t>
  </si>
  <si>
    <t>Косвенные затраты, в том числе:</t>
  </si>
  <si>
    <t>2.1</t>
  </si>
  <si>
    <t>Услуга на оплату труда по гражданско-правовым договорам</t>
  </si>
  <si>
    <t>2.1.1</t>
  </si>
  <si>
    <t xml:space="preserve">   ответственный за работу школы</t>
  </si>
  <si>
    <t xml:space="preserve">   администратора</t>
  </si>
  <si>
    <t xml:space="preserve">   учителя</t>
  </si>
  <si>
    <t xml:space="preserve">   воспитателя</t>
  </si>
  <si>
    <t xml:space="preserve">   педагога дополнительного образования</t>
  </si>
  <si>
    <t xml:space="preserve">   дежурной</t>
  </si>
  <si>
    <t xml:space="preserve">   уборщицы</t>
  </si>
  <si>
    <t xml:space="preserve">   дворника</t>
  </si>
  <si>
    <t>2.1.2</t>
  </si>
  <si>
    <t>Оплата коммунальных услуг</t>
  </si>
  <si>
    <t>2.2</t>
  </si>
  <si>
    <t>Оплата содержания помещений</t>
  </si>
  <si>
    <t>2.3</t>
  </si>
  <si>
    <t>Оплпта текущего ремонта оборудования и инвентаря</t>
  </si>
  <si>
    <t>2.4</t>
  </si>
  <si>
    <t>2.5</t>
  </si>
  <si>
    <t>Оплата проживания во время командировок</t>
  </si>
  <si>
    <t>2.6</t>
  </si>
  <si>
    <t>2.7</t>
  </si>
  <si>
    <t>Оплата банковских услуг</t>
  </si>
  <si>
    <t>Оплата услуг по гражданско-правовому договору</t>
  </si>
  <si>
    <t>2,8</t>
  </si>
  <si>
    <t>Оплата бухгалтерских услуг</t>
  </si>
  <si>
    <t>Итого затрат:</t>
  </si>
  <si>
    <t>Количество детей, чел.</t>
  </si>
  <si>
    <t>Количество часов в год на одного ребенка, час.</t>
  </si>
  <si>
    <t>Стоимость за 1 чел.час., руб.</t>
  </si>
  <si>
    <t>Составил: специалист МБУ "ЦБ УО":  _______________</t>
  </si>
  <si>
    <t>Директор МБОУ "СОШ № 31"</t>
  </si>
  <si>
    <t>Е.А. Петракевич</t>
  </si>
  <si>
    <t>"СОШ № 31"</t>
  </si>
  <si>
    <t xml:space="preserve">Муниципальное бюджетнгое общеобразовательное учреждение </t>
  </si>
  <si>
    <t>Расчет (смета) резерва на оплату отпусков на 2018  уч.г.</t>
  </si>
  <si>
    <t>№ строки</t>
  </si>
  <si>
    <t>Показатель</t>
  </si>
  <si>
    <t>Значение</t>
  </si>
  <si>
    <t>Предполагаемая сумма отпускных за год, руб.</t>
  </si>
  <si>
    <t>Страховые взносы с предполагаемой суммы отпускных за год (стр.1 х 30,2%), руб.</t>
  </si>
  <si>
    <t>Неиспользованный резерв отпусков</t>
  </si>
  <si>
    <t>Предельная сумма отчислений в резерв (предполагаемая сумма отпускных за год с учетом страх.взносов) (стр.1 + стр.2), руб.</t>
  </si>
  <si>
    <t>Предполагаемая сумма расходов на оплату труда за год (без учета отпускных), руб.</t>
  </si>
  <si>
    <t>Страховые взносы с предполагаемой суммы расходов на оплату труда за год (стр.5 х 30,2%), руб.</t>
  </si>
  <si>
    <t>Предполагаемая годовая сумма расходов на оплату труда с учетом страх.взносов (стр.5 + стр.6)</t>
  </si>
  <si>
    <t>Процент ежемесячных отчислений в резерв ((стр.4 / стр.7) х 100)</t>
  </si>
  <si>
    <t>Сумма ежемесячных отчислений в резерв (сумма фактических расходов на оплату труда за месяц + страх.взносы) х стр.8)</t>
  </si>
  <si>
    <t>Определяется ежемесячно</t>
  </si>
  <si>
    <t>Е.М. Алексеева</t>
  </si>
  <si>
    <t xml:space="preserve">   организация платных дополнительных образовательных услуг "Предшкольная подготовка"</t>
  </si>
  <si>
    <t>"СВОД"</t>
  </si>
  <si>
    <t>"Углубленное изучение отдельных предметов"</t>
  </si>
  <si>
    <t xml:space="preserve">   организация платных дополнительных образовательных услуг "Углубленное изучение отдельных предметов"</t>
  </si>
  <si>
    <t>1.7</t>
  </si>
  <si>
    <t>1.8</t>
  </si>
  <si>
    <t>Оплата текущего ремонта зданий и помещений (строймат.)</t>
  </si>
  <si>
    <t xml:space="preserve">Оплата текущих расходов </t>
  </si>
  <si>
    <t>"Углубленное изучение отдельных предметов по выбору"</t>
  </si>
  <si>
    <t>2.8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</si>
</sst>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%"/>
    <numFmt numFmtId="176" formatCode="0.00000"/>
    <numFmt numFmtId="177" formatCode="0.0000000"/>
    <numFmt numFmtId="178" formatCode="0.00000000"/>
    <numFmt numFmtId="179" formatCode="0.000000"/>
    <numFmt numFmtId="180" formatCode="0.0000000000"/>
    <numFmt numFmtId="181" formatCode="0.00000000000"/>
    <numFmt numFmtId="182" formatCode="0.000000000000"/>
    <numFmt numFmtId="183" formatCode="0.000000000"/>
    <numFmt numFmtId="184" formatCode="#,##0_р_."/>
    <numFmt numFmtId="185" formatCode="#,##0.0_р_."/>
    <numFmt numFmtId="186" formatCode="#,##0.00_р_."/>
    <numFmt numFmtId="187" formatCode="#,##0.000_р_."/>
    <numFmt numFmtId="188" formatCode="#,##0.0000_р_."/>
    <numFmt numFmtId="189" formatCode="#,##0.00000_р_."/>
    <numFmt numFmtId="190" formatCode="#,##0.000000_р_."/>
    <numFmt numFmtId="191" formatCode="0.000%"/>
    <numFmt numFmtId="192" formatCode="_-* #,##0.0_р_._-;\-* #,##0.0_р_._-;_-* &quot;-&quot;_р_._-;_-@_-"/>
    <numFmt numFmtId="193" formatCode="_-* #,##0.00_р_._-;\-* #,##0.00_р_._-;_-* &quot;-&quot;_р_._-;_-@_-"/>
    <numFmt numFmtId="194" formatCode="d/m"/>
    <numFmt numFmtId="195" formatCode="#,##0.0"/>
    <numFmt numFmtId="196" formatCode="#,##0.000"/>
    <numFmt numFmtId="197" formatCode="0.0000%"/>
  </numFmts>
  <fonts count="9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12"/>
      <name val="Times New Roman"/>
      <family val="1"/>
    </font>
    <font>
      <sz val="12"/>
      <name val="Bookman Old Style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"/>
      <name val="Times New Roman"/>
      <family val="1"/>
    </font>
    <font>
      <b/>
      <sz val="14"/>
      <name val="Bookman Old Style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Bookman Old Style"/>
      <family val="1"/>
    </font>
    <font>
      <u val="single"/>
      <sz val="12"/>
      <name val="Times New Roman"/>
      <family val="1"/>
    </font>
    <font>
      <i/>
      <sz val="11"/>
      <name val="Bookman Old Style"/>
      <family val="1"/>
    </font>
    <font>
      <i/>
      <sz val="12"/>
      <name val="Times New Roman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b/>
      <i/>
      <sz val="12"/>
      <name val="Times New Roman"/>
      <family val="1"/>
    </font>
    <font>
      <sz val="15"/>
      <name val="Bookman Old Style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8"/>
      <name val="Times New Roman"/>
      <family val="1"/>
    </font>
    <font>
      <b/>
      <u val="single"/>
      <sz val="15"/>
      <name val="Times New Roman"/>
      <family val="1"/>
    </font>
    <font>
      <i/>
      <sz val="14"/>
      <name val="Times New Roman"/>
      <family val="1"/>
    </font>
    <font>
      <sz val="10"/>
      <name val="Bookman Old Style"/>
      <family val="1"/>
    </font>
    <font>
      <sz val="13"/>
      <name val="Bookman Old Style"/>
      <family val="1"/>
    </font>
    <font>
      <u val="single"/>
      <sz val="12"/>
      <name val="Bookman Old Style"/>
      <family val="1"/>
    </font>
    <font>
      <i/>
      <sz val="12"/>
      <name val="Bookman Old Style"/>
      <family val="1"/>
    </font>
    <font>
      <b/>
      <sz val="13"/>
      <name val="Bookman Old Style"/>
      <family val="1"/>
    </font>
    <font>
      <b/>
      <sz val="1"/>
      <name val="Bookman Old Style"/>
      <family val="1"/>
    </font>
    <font>
      <sz val="1"/>
      <name val="Bookman Old Style"/>
      <family val="1"/>
    </font>
    <font>
      <i/>
      <sz val="1"/>
      <name val="Bookman Old Style"/>
      <family val="1"/>
    </font>
    <font>
      <b/>
      <sz val="10"/>
      <name val="Bookman Old Style"/>
      <family val="1"/>
    </font>
    <font>
      <b/>
      <u val="single"/>
      <sz val="11"/>
      <name val="Bookman Old Style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1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sz val="11"/>
      <name val="Times New Roman"/>
      <family val="1"/>
    </font>
    <font>
      <i/>
      <sz val="10"/>
      <name val="Arial Cyr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4"/>
      <name val="Times New Roman"/>
      <family val="1"/>
    </font>
    <font>
      <b/>
      <i/>
      <sz val="13"/>
      <name val="Bookman Old Style"/>
      <family val="1"/>
    </font>
    <font>
      <sz val="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Bookman Old Style"/>
      <family val="1"/>
    </font>
    <font>
      <sz val="10"/>
      <color indexed="10"/>
      <name val="Arial Cyr"/>
      <family val="0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u val="single"/>
      <sz val="11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Bookman Old Style"/>
      <family val="1"/>
    </font>
    <font>
      <sz val="10"/>
      <color rgb="FFFF0000"/>
      <name val="Arial Cyr"/>
      <family val="0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u val="single"/>
      <sz val="11"/>
      <color rgb="FFFF0000"/>
      <name val="Bookman Old Style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1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6" fillId="0" borderId="11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0" fontId="16" fillId="0" borderId="15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8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12" fillId="0" borderId="0" xfId="0" applyFont="1" applyFill="1" applyAlignment="1">
      <alignment/>
    </xf>
    <xf numFmtId="0" fontId="16" fillId="0" borderId="23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12" fillId="0" borderId="1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26" fillId="0" borderId="0" xfId="0" applyFont="1" applyFill="1" applyAlignment="1">
      <alignment/>
    </xf>
    <xf numFmtId="0" fontId="12" fillId="0" borderId="2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72" fontId="11" fillId="0" borderId="20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72" fontId="12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2" fontId="27" fillId="0" borderId="0" xfId="0" applyNumberFormat="1" applyFont="1" applyBorder="1" applyAlignment="1">
      <alignment horizontal="right" vertical="center"/>
    </xf>
    <xf numFmtId="2" fontId="4" fillId="0" borderId="2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0" fontId="16" fillId="0" borderId="24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2" fontId="4" fillId="0" borderId="31" xfId="0" applyNumberFormat="1" applyFont="1" applyFill="1" applyBorder="1" applyAlignment="1">
      <alignment horizontal="right"/>
    </xf>
    <xf numFmtId="2" fontId="4" fillId="0" borderId="32" xfId="0" applyNumberFormat="1" applyFont="1" applyFill="1" applyBorder="1" applyAlignment="1">
      <alignment horizontal="right"/>
    </xf>
    <xf numFmtId="2" fontId="4" fillId="0" borderId="33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16" fillId="0" borderId="30" xfId="0" applyFont="1" applyFill="1" applyBorder="1" applyAlignment="1">
      <alignment/>
    </xf>
    <xf numFmtId="0" fontId="16" fillId="0" borderId="37" xfId="0" applyFont="1" applyFill="1" applyBorder="1" applyAlignment="1">
      <alignment/>
    </xf>
    <xf numFmtId="2" fontId="4" fillId="0" borderId="38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27" fillId="0" borderId="2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18" fillId="0" borderId="20" xfId="0" applyNumberFormat="1" applyFont="1" applyFill="1" applyBorder="1" applyAlignment="1">
      <alignment horizontal="right"/>
    </xf>
    <xf numFmtId="3" fontId="13" fillId="0" borderId="38" xfId="0" applyNumberFormat="1" applyFont="1" applyFill="1" applyBorder="1" applyAlignment="1">
      <alignment horizontal="right"/>
    </xf>
    <xf numFmtId="3" fontId="15" fillId="0" borderId="32" xfId="0" applyNumberFormat="1" applyFont="1" applyFill="1" applyBorder="1" applyAlignment="1">
      <alignment horizontal="right"/>
    </xf>
    <xf numFmtId="3" fontId="13" fillId="0" borderId="32" xfId="0" applyNumberFormat="1" applyFont="1" applyFill="1" applyBorder="1" applyAlignment="1">
      <alignment horizontal="right"/>
    </xf>
    <xf numFmtId="3" fontId="13" fillId="0" borderId="33" xfId="0" applyNumberFormat="1" applyFont="1" applyFill="1" applyBorder="1" applyAlignment="1">
      <alignment horizontal="right"/>
    </xf>
    <xf numFmtId="3" fontId="29" fillId="0" borderId="21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28" fillId="0" borderId="21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3" fontId="30" fillId="0" borderId="33" xfId="0" applyNumberFormat="1" applyFont="1" applyFill="1" applyBorder="1" applyAlignment="1">
      <alignment horizontal="right"/>
    </xf>
    <xf numFmtId="3" fontId="13" fillId="0" borderId="31" xfId="0" applyNumberFormat="1" applyFont="1" applyFill="1" applyBorder="1" applyAlignment="1">
      <alignment horizontal="right"/>
    </xf>
    <xf numFmtId="3" fontId="27" fillId="0" borderId="33" xfId="0" applyNumberFormat="1" applyFont="1" applyFill="1" applyBorder="1" applyAlignment="1">
      <alignment horizontal="right"/>
    </xf>
    <xf numFmtId="3" fontId="5" fillId="0" borderId="38" xfId="0" applyNumberFormat="1" applyFont="1" applyFill="1" applyBorder="1" applyAlignment="1">
      <alignment horizontal="right"/>
    </xf>
    <xf numFmtId="3" fontId="5" fillId="0" borderId="37" xfId="0" applyNumberFormat="1" applyFont="1" applyFill="1" applyBorder="1" applyAlignment="1">
      <alignment horizontal="right"/>
    </xf>
    <xf numFmtId="3" fontId="26" fillId="0" borderId="32" xfId="0" applyNumberFormat="1" applyFont="1" applyFill="1" applyBorder="1" applyAlignment="1">
      <alignment horizontal="right"/>
    </xf>
    <xf numFmtId="3" fontId="26" fillId="0" borderId="18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173" fontId="4" fillId="0" borderId="31" xfId="0" applyNumberFormat="1" applyFont="1" applyFill="1" applyBorder="1" applyAlignment="1">
      <alignment horizontal="right"/>
    </xf>
    <xf numFmtId="2" fontId="4" fillId="0" borderId="21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/>
    </xf>
    <xf numFmtId="3" fontId="26" fillId="0" borderId="38" xfId="0" applyNumberFormat="1" applyFont="1" applyFill="1" applyBorder="1" applyAlignment="1">
      <alignment horizontal="right"/>
    </xf>
    <xf numFmtId="3" fontId="26" fillId="0" borderId="39" xfId="0" applyNumberFormat="1" applyFont="1" applyFill="1" applyBorder="1" applyAlignment="1">
      <alignment horizontal="right"/>
    </xf>
    <xf numFmtId="0" fontId="12" fillId="0" borderId="21" xfId="0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3" fontId="15" fillId="0" borderId="32" xfId="0" applyNumberFormat="1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3" fontId="26" fillId="0" borderId="33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/>
    </xf>
    <xf numFmtId="0" fontId="7" fillId="0" borderId="40" xfId="0" applyFont="1" applyBorder="1" applyAlignment="1">
      <alignment vertical="center"/>
    </xf>
    <xf numFmtId="0" fontId="11" fillId="0" borderId="41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49" fontId="4" fillId="0" borderId="39" xfId="0" applyNumberFormat="1" applyFont="1" applyFill="1" applyBorder="1" applyAlignment="1">
      <alignment/>
    </xf>
    <xf numFmtId="0" fontId="16" fillId="0" borderId="40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1" fontId="15" fillId="0" borderId="4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42" xfId="0" applyFont="1" applyFill="1" applyBorder="1" applyAlignment="1">
      <alignment/>
    </xf>
    <xf numFmtId="0" fontId="15" fillId="0" borderId="40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43" xfId="0" applyFont="1" applyFill="1" applyBorder="1" applyAlignment="1">
      <alignment/>
    </xf>
    <xf numFmtId="0" fontId="7" fillId="0" borderId="41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8" fillId="0" borderId="42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12" fillId="0" borderId="43" xfId="0" applyFont="1" applyFill="1" applyBorder="1" applyAlignment="1">
      <alignment/>
    </xf>
    <xf numFmtId="0" fontId="34" fillId="0" borderId="0" xfId="0" applyFont="1" applyFill="1" applyAlignment="1">
      <alignment/>
    </xf>
    <xf numFmtId="0" fontId="4" fillId="0" borderId="41" xfId="0" applyFont="1" applyFill="1" applyBorder="1" applyAlignment="1">
      <alignment/>
    </xf>
    <xf numFmtId="3" fontId="27" fillId="0" borderId="2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89" fillId="0" borderId="0" xfId="0" applyFont="1" applyFill="1" applyAlignment="1">
      <alignment/>
    </xf>
    <xf numFmtId="3" fontId="90" fillId="0" borderId="0" xfId="0" applyNumberFormat="1" applyFont="1" applyFill="1" applyAlignment="1">
      <alignment/>
    </xf>
    <xf numFmtId="3" fontId="90" fillId="0" borderId="0" xfId="0" applyNumberFormat="1" applyFont="1" applyFill="1" applyAlignment="1">
      <alignment horizontal="center"/>
    </xf>
    <xf numFmtId="0" fontId="91" fillId="0" borderId="16" xfId="0" applyFont="1" applyFill="1" applyBorder="1" applyAlignment="1">
      <alignment/>
    </xf>
    <xf numFmtId="0" fontId="92" fillId="0" borderId="39" xfId="0" applyFont="1" applyFill="1" applyBorder="1" applyAlignment="1">
      <alignment/>
    </xf>
    <xf numFmtId="0" fontId="92" fillId="0" borderId="18" xfId="0" applyFont="1" applyFill="1" applyBorder="1" applyAlignment="1">
      <alignment/>
    </xf>
    <xf numFmtId="3" fontId="13" fillId="0" borderId="4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3" fontId="93" fillId="0" borderId="0" xfId="0" applyNumberFormat="1" applyFont="1" applyFill="1" applyAlignment="1">
      <alignment/>
    </xf>
    <xf numFmtId="195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0" fillId="0" borderId="20" xfId="0" applyFont="1" applyBorder="1" applyAlignment="1">
      <alignment horizontal="center" wrapText="1"/>
    </xf>
    <xf numFmtId="0" fontId="41" fillId="0" borderId="20" xfId="0" applyFont="1" applyBorder="1" applyAlignment="1">
      <alignment horizontal="center"/>
    </xf>
    <xf numFmtId="0" fontId="42" fillId="0" borderId="20" xfId="0" applyFont="1" applyBorder="1" applyAlignment="1">
      <alignment/>
    </xf>
    <xf numFmtId="3" fontId="41" fillId="0" borderId="20" xfId="0" applyNumberFormat="1" applyFont="1" applyFill="1" applyBorder="1" applyAlignment="1">
      <alignment horizontal="center"/>
    </xf>
    <xf numFmtId="4" fontId="41" fillId="0" borderId="2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1" fontId="43" fillId="0" borderId="21" xfId="60" applyNumberFormat="1" applyFont="1" applyFill="1" applyBorder="1" applyAlignment="1">
      <alignment horizontal="center"/>
    </xf>
    <xf numFmtId="196" fontId="0" fillId="0" borderId="20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20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20" xfId="0" applyBorder="1" applyAlignment="1">
      <alignment wrapText="1"/>
    </xf>
    <xf numFmtId="49" fontId="40" fillId="0" borderId="20" xfId="0" applyNumberFormat="1" applyFont="1" applyBorder="1" applyAlignment="1">
      <alignment horizontal="center"/>
    </xf>
    <xf numFmtId="0" fontId="44" fillId="0" borderId="20" xfId="0" applyFont="1" applyBorder="1" applyAlignment="1">
      <alignment/>
    </xf>
    <xf numFmtId="0" fontId="41" fillId="0" borderId="20" xfId="0" applyFont="1" applyBorder="1" applyAlignment="1">
      <alignment/>
    </xf>
    <xf numFmtId="4" fontId="41" fillId="0" borderId="2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40" fillId="0" borderId="20" xfId="0" applyFont="1" applyBorder="1" applyAlignment="1">
      <alignment vertical="center"/>
    </xf>
    <xf numFmtId="2" fontId="4" fillId="0" borderId="22" xfId="60" applyNumberFormat="1" applyFont="1" applyFill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4" fontId="0" fillId="0" borderId="20" xfId="0" applyNumberFormat="1" applyFont="1" applyFill="1" applyBorder="1" applyAlignment="1">
      <alignment horizontal="center" vertical="center"/>
    </xf>
    <xf numFmtId="2" fontId="43" fillId="0" borderId="21" xfId="60" applyNumberFormat="1" applyFont="1" applyFill="1" applyBorder="1" applyAlignment="1">
      <alignment horizontal="center"/>
    </xf>
    <xf numFmtId="197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10" fontId="0" fillId="0" borderId="2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2" fontId="48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" fillId="0" borderId="23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172" fontId="11" fillId="0" borderId="42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2" fontId="4" fillId="0" borderId="42" xfId="0" applyNumberFormat="1" applyFont="1" applyFill="1" applyBorder="1" applyAlignment="1">
      <alignment horizontal="right"/>
    </xf>
    <xf numFmtId="2" fontId="4" fillId="0" borderId="28" xfId="0" applyNumberFormat="1" applyFont="1" applyFill="1" applyBorder="1" applyAlignment="1">
      <alignment horizontal="right"/>
    </xf>
    <xf numFmtId="2" fontId="4" fillId="0" borderId="18" xfId="0" applyNumberFormat="1" applyFont="1" applyFill="1" applyBorder="1" applyAlignment="1">
      <alignment horizontal="right"/>
    </xf>
    <xf numFmtId="2" fontId="4" fillId="0" borderId="37" xfId="0" applyNumberFormat="1" applyFont="1" applyFill="1" applyBorder="1" applyAlignment="1">
      <alignment horizontal="right"/>
    </xf>
    <xf numFmtId="2" fontId="4" fillId="0" borderId="40" xfId="0" applyNumberFormat="1" applyFont="1" applyFill="1" applyBorder="1" applyAlignment="1">
      <alignment horizontal="right"/>
    </xf>
    <xf numFmtId="2" fontId="4" fillId="0" borderId="39" xfId="0" applyNumberFormat="1" applyFont="1" applyFill="1" applyBorder="1" applyAlignment="1">
      <alignment horizontal="right"/>
    </xf>
    <xf numFmtId="173" fontId="4" fillId="0" borderId="28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12" fillId="0" borderId="52" xfId="0" applyFont="1" applyFill="1" applyBorder="1" applyAlignment="1">
      <alignment/>
    </xf>
    <xf numFmtId="3" fontId="10" fillId="0" borderId="51" xfId="0" applyNumberFormat="1" applyFont="1" applyFill="1" applyBorder="1" applyAlignment="1">
      <alignment/>
    </xf>
    <xf numFmtId="0" fontId="12" fillId="0" borderId="53" xfId="0" applyFont="1" applyFill="1" applyBorder="1" applyAlignment="1">
      <alignment/>
    </xf>
    <xf numFmtId="3" fontId="5" fillId="0" borderId="54" xfId="0" applyNumberFormat="1" applyFont="1" applyFill="1" applyBorder="1" applyAlignment="1">
      <alignment/>
    </xf>
    <xf numFmtId="0" fontId="7" fillId="0" borderId="55" xfId="0" applyFont="1" applyFill="1" applyBorder="1" applyAlignment="1">
      <alignment/>
    </xf>
    <xf numFmtId="3" fontId="27" fillId="0" borderId="51" xfId="0" applyNumberFormat="1" applyFont="1" applyFill="1" applyBorder="1" applyAlignment="1">
      <alignment horizontal="right"/>
    </xf>
    <xf numFmtId="0" fontId="12" fillId="0" borderId="56" xfId="0" applyFont="1" applyFill="1" applyBorder="1" applyAlignment="1">
      <alignment/>
    </xf>
    <xf numFmtId="3" fontId="5" fillId="0" borderId="57" xfId="0" applyNumberFormat="1" applyFont="1" applyFill="1" applyBorder="1" applyAlignment="1">
      <alignment horizontal="right"/>
    </xf>
    <xf numFmtId="3" fontId="5" fillId="0" borderId="58" xfId="0" applyNumberFormat="1" applyFont="1" applyFill="1" applyBorder="1" applyAlignment="1">
      <alignment horizontal="right"/>
    </xf>
    <xf numFmtId="0" fontId="12" fillId="0" borderId="59" xfId="0" applyFont="1" applyFill="1" applyBorder="1" applyAlignment="1">
      <alignment/>
    </xf>
    <xf numFmtId="3" fontId="5" fillId="0" borderId="60" xfId="0" applyNumberFormat="1" applyFont="1" applyFill="1" applyBorder="1" applyAlignment="1">
      <alignment horizontal="right"/>
    </xf>
    <xf numFmtId="0" fontId="7" fillId="0" borderId="50" xfId="0" applyFont="1" applyFill="1" applyBorder="1" applyAlignment="1">
      <alignment vertical="center"/>
    </xf>
    <xf numFmtId="3" fontId="27" fillId="0" borderId="51" xfId="0" applyNumberFormat="1" applyFont="1" applyFill="1" applyBorder="1" applyAlignment="1">
      <alignment horizontal="right" vertical="center"/>
    </xf>
    <xf numFmtId="0" fontId="16" fillId="0" borderId="61" xfId="0" applyFont="1" applyFill="1" applyBorder="1" applyAlignment="1">
      <alignment/>
    </xf>
    <xf numFmtId="3" fontId="5" fillId="0" borderId="51" xfId="0" applyNumberFormat="1" applyFont="1" applyFill="1" applyBorder="1" applyAlignment="1">
      <alignment horizontal="right"/>
    </xf>
    <xf numFmtId="3" fontId="18" fillId="0" borderId="51" xfId="0" applyNumberFormat="1" applyFont="1" applyFill="1" applyBorder="1" applyAlignment="1">
      <alignment horizontal="right"/>
    </xf>
    <xf numFmtId="0" fontId="16" fillId="0" borderId="62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3" fontId="13" fillId="0" borderId="64" xfId="0" applyNumberFormat="1" applyFont="1" applyFill="1" applyBorder="1" applyAlignment="1">
      <alignment horizontal="right"/>
    </xf>
    <xf numFmtId="0" fontId="16" fillId="0" borderId="50" xfId="0" applyFont="1" applyFill="1" applyBorder="1" applyAlignment="1">
      <alignment horizontal="right"/>
    </xf>
    <xf numFmtId="3" fontId="15" fillId="0" borderId="58" xfId="0" applyNumberFormat="1" applyFont="1" applyFill="1" applyBorder="1" applyAlignment="1">
      <alignment horizontal="right"/>
    </xf>
    <xf numFmtId="0" fontId="16" fillId="0" borderId="63" xfId="0" applyFont="1" applyFill="1" applyBorder="1" applyAlignment="1">
      <alignment horizontal="right"/>
    </xf>
    <xf numFmtId="0" fontId="4" fillId="0" borderId="56" xfId="0" applyFont="1" applyFill="1" applyBorder="1" applyAlignment="1">
      <alignment/>
    </xf>
    <xf numFmtId="3" fontId="13" fillId="0" borderId="58" xfId="0" applyNumberFormat="1" applyFont="1" applyFill="1" applyBorder="1" applyAlignment="1">
      <alignment horizontal="right"/>
    </xf>
    <xf numFmtId="0" fontId="16" fillId="0" borderId="50" xfId="0" applyFont="1" applyFill="1" applyBorder="1" applyAlignment="1">
      <alignment/>
    </xf>
    <xf numFmtId="3" fontId="13" fillId="0" borderId="60" xfId="0" applyNumberFormat="1" applyFont="1" applyFill="1" applyBorder="1" applyAlignment="1">
      <alignment horizontal="right"/>
    </xf>
    <xf numFmtId="3" fontId="29" fillId="0" borderId="54" xfId="0" applyNumberFormat="1" applyFont="1" applyFill="1" applyBorder="1" applyAlignment="1">
      <alignment horizontal="right"/>
    </xf>
    <xf numFmtId="0" fontId="14" fillId="0" borderId="50" xfId="0" applyFont="1" applyFill="1" applyBorder="1" applyAlignment="1">
      <alignment/>
    </xf>
    <xf numFmtId="3" fontId="28" fillId="0" borderId="54" xfId="0" applyNumberFormat="1" applyFont="1" applyFill="1" applyBorder="1" applyAlignment="1">
      <alignment horizontal="right"/>
    </xf>
    <xf numFmtId="0" fontId="25" fillId="0" borderId="61" xfId="0" applyFont="1" applyFill="1" applyBorder="1" applyAlignment="1">
      <alignment/>
    </xf>
    <xf numFmtId="3" fontId="5" fillId="0" borderId="54" xfId="0" applyNumberFormat="1" applyFont="1" applyFill="1" applyBorder="1" applyAlignment="1">
      <alignment horizontal="right"/>
    </xf>
    <xf numFmtId="0" fontId="25" fillId="0" borderId="52" xfId="0" applyFont="1" applyFill="1" applyBorder="1" applyAlignment="1">
      <alignment/>
    </xf>
    <xf numFmtId="3" fontId="30" fillId="0" borderId="60" xfId="0" applyNumberFormat="1" applyFont="1" applyFill="1" applyBorder="1" applyAlignment="1">
      <alignment horizontal="right"/>
    </xf>
    <xf numFmtId="0" fontId="25" fillId="0" borderId="62" xfId="0" applyFont="1" applyFill="1" applyBorder="1" applyAlignment="1">
      <alignment/>
    </xf>
    <xf numFmtId="3" fontId="13" fillId="0" borderId="57" xfId="0" applyNumberFormat="1" applyFont="1" applyFill="1" applyBorder="1" applyAlignment="1">
      <alignment horizontal="right"/>
    </xf>
    <xf numFmtId="0" fontId="16" fillId="0" borderId="52" xfId="0" applyFont="1" applyFill="1" applyBorder="1" applyAlignment="1">
      <alignment/>
    </xf>
    <xf numFmtId="0" fontId="12" fillId="0" borderId="61" xfId="0" applyFont="1" applyFill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3" fontId="27" fillId="0" borderId="60" xfId="0" applyNumberFormat="1" applyFont="1" applyFill="1" applyBorder="1" applyAlignment="1">
      <alignment horizontal="right"/>
    </xf>
    <xf numFmtId="3" fontId="5" fillId="0" borderId="64" xfId="0" applyNumberFormat="1" applyFont="1" applyFill="1" applyBorder="1" applyAlignment="1">
      <alignment horizontal="right"/>
    </xf>
    <xf numFmtId="3" fontId="26" fillId="0" borderId="58" xfId="0" applyNumberFormat="1" applyFont="1" applyFill="1" applyBorder="1" applyAlignment="1">
      <alignment horizontal="right"/>
    </xf>
    <xf numFmtId="0" fontId="4" fillId="0" borderId="59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16" fillId="0" borderId="67" xfId="0" applyFont="1" applyFill="1" applyBorder="1" applyAlignment="1">
      <alignment/>
    </xf>
    <xf numFmtId="0" fontId="16" fillId="0" borderId="68" xfId="0" applyFont="1" applyFill="1" applyBorder="1" applyAlignment="1">
      <alignment/>
    </xf>
    <xf numFmtId="3" fontId="13" fillId="0" borderId="69" xfId="0" applyNumberFormat="1" applyFont="1" applyFill="1" applyBorder="1" applyAlignment="1">
      <alignment horizontal="right"/>
    </xf>
    <xf numFmtId="3" fontId="26" fillId="0" borderId="69" xfId="0" applyNumberFormat="1" applyFont="1" applyFill="1" applyBorder="1" applyAlignment="1">
      <alignment horizontal="right"/>
    </xf>
    <xf numFmtId="3" fontId="26" fillId="0" borderId="70" xfId="0" applyNumberFormat="1" applyFont="1" applyFill="1" applyBorder="1" applyAlignment="1">
      <alignment horizontal="right"/>
    </xf>
    <xf numFmtId="3" fontId="49" fillId="0" borderId="0" xfId="0" applyNumberFormat="1" applyFont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1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2" fontId="13" fillId="0" borderId="0" xfId="0" applyNumberFormat="1" applyFont="1" applyFill="1" applyAlignment="1">
      <alignment horizontal="center" wrapText="1"/>
    </xf>
    <xf numFmtId="0" fontId="4" fillId="0" borderId="7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V87"/>
  <sheetViews>
    <sheetView showZeros="0" zoomScale="75" zoomScaleNormal="75" zoomScalePageLayoutView="0" workbookViewId="0" topLeftCell="A58">
      <selection activeCell="B1" sqref="B1:L78"/>
    </sheetView>
  </sheetViews>
  <sheetFormatPr defaultColWidth="9.00390625" defaultRowHeight="12.75" customHeight="1"/>
  <cols>
    <col min="1" max="1" width="0.74609375" style="1" customWidth="1"/>
    <col min="2" max="2" width="10.375" style="1" customWidth="1"/>
    <col min="3" max="3" width="11.00390625" style="1" customWidth="1"/>
    <col min="4" max="4" width="14.875" style="1" customWidth="1"/>
    <col min="5" max="5" width="11.375" style="1" customWidth="1"/>
    <col min="6" max="6" width="18.375" style="1" customWidth="1"/>
    <col min="7" max="7" width="17.00390625" style="1" customWidth="1"/>
    <col min="8" max="8" width="13.625" style="1" customWidth="1"/>
    <col min="9" max="9" width="12.375" style="1" customWidth="1"/>
    <col min="10" max="10" width="12.875" style="1" customWidth="1"/>
    <col min="11" max="11" width="14.75390625" style="1" customWidth="1"/>
    <col min="12" max="12" width="11.375" style="1" hidden="1" customWidth="1"/>
    <col min="13" max="13" width="11.00390625" style="1" bestFit="1" customWidth="1"/>
    <col min="14" max="14" width="11.25390625" style="1" customWidth="1"/>
    <col min="15" max="15" width="12.375" style="1" customWidth="1"/>
    <col min="16" max="16" width="11.75390625" style="1" customWidth="1"/>
    <col min="17" max="17" width="12.75390625" style="1" customWidth="1"/>
    <col min="18" max="18" width="11.875" style="1" customWidth="1"/>
    <col min="19" max="19" width="14.75390625" style="1" hidden="1" customWidth="1"/>
    <col min="20" max="20" width="13.875" style="1" customWidth="1"/>
    <col min="21" max="16384" width="9.125" style="1" customWidth="1"/>
  </cols>
  <sheetData>
    <row r="1" s="32" customFormat="1" ht="12.75" customHeight="1"/>
    <row r="2" spans="2:21" s="33" customFormat="1" ht="16.5" customHeight="1">
      <c r="B2" s="312" t="s">
        <v>86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4"/>
      <c r="N2" s="34"/>
      <c r="O2" s="34"/>
      <c r="P2" s="34"/>
      <c r="Q2" s="34"/>
      <c r="R2" s="34"/>
      <c r="S2" s="34"/>
      <c r="T2" s="34"/>
      <c r="U2" s="34"/>
    </row>
    <row r="3" spans="2:21" s="33" customFormat="1" ht="16.5" customHeight="1">
      <c r="B3" s="34"/>
      <c r="C3" s="36"/>
      <c r="D3" s="35" t="s">
        <v>87</v>
      </c>
      <c r="E3" s="37"/>
      <c r="F3" s="37"/>
      <c r="G3" s="37"/>
      <c r="H3" s="37"/>
      <c r="I3" s="38"/>
      <c r="J3" s="38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10" s="32" customFormat="1" ht="16.5" customHeight="1">
      <c r="B4" s="32" t="s">
        <v>28</v>
      </c>
      <c r="D4" s="40" t="s">
        <v>79</v>
      </c>
      <c r="G4" s="41"/>
      <c r="I4" s="4"/>
      <c r="J4" s="4"/>
    </row>
    <row r="5" s="32" customFormat="1" ht="12.75" customHeight="1"/>
    <row r="6" spans="2:13" s="39" customFormat="1" ht="18" customHeight="1">
      <c r="B6" s="35"/>
      <c r="D6" s="39" t="s">
        <v>81</v>
      </c>
      <c r="M6" s="32"/>
    </row>
    <row r="7" s="32" customFormat="1" ht="14.25" customHeight="1"/>
    <row r="8" spans="2:6" s="32" customFormat="1" ht="18" customHeight="1">
      <c r="B8" s="32" t="s">
        <v>53</v>
      </c>
      <c r="E8" s="121">
        <v>48</v>
      </c>
      <c r="F8" s="62"/>
    </row>
    <row r="9" spans="2:6" s="32" customFormat="1" ht="18" customHeight="1">
      <c r="B9" s="32" t="s">
        <v>61</v>
      </c>
      <c r="E9" s="167">
        <v>4</v>
      </c>
      <c r="F9" s="62"/>
    </row>
    <row r="10" spans="2:6" s="32" customFormat="1" ht="18" customHeight="1">
      <c r="B10" s="32" t="s">
        <v>54</v>
      </c>
      <c r="E10" s="167">
        <v>2</v>
      </c>
      <c r="F10" s="62"/>
    </row>
    <row r="11" spans="2:6" s="32" customFormat="1" ht="18" customHeight="1">
      <c r="B11" s="32" t="s">
        <v>62</v>
      </c>
      <c r="E11" s="121">
        <f>+G12*4</f>
        <v>27</v>
      </c>
      <c r="F11" s="62"/>
    </row>
    <row r="12" spans="2:11" s="32" customFormat="1" ht="18" customHeight="1">
      <c r="B12" s="32" t="s">
        <v>55</v>
      </c>
      <c r="E12" s="121">
        <f>E11*E9*E10</f>
        <v>216</v>
      </c>
      <c r="F12" s="81" t="s">
        <v>70</v>
      </c>
      <c r="G12" s="42">
        <f>H12+I12+K12</f>
        <v>6.75</v>
      </c>
      <c r="H12" s="42">
        <f>11/4</f>
        <v>2.75</v>
      </c>
      <c r="I12" s="42">
        <f>4/4</f>
        <v>1</v>
      </c>
      <c r="J12" s="42"/>
      <c r="K12" s="42">
        <f>12/4</f>
        <v>3</v>
      </c>
    </row>
    <row r="13" spans="2:6" s="32" customFormat="1" ht="18" customHeight="1">
      <c r="B13" s="32" t="s">
        <v>56</v>
      </c>
      <c r="E13" s="181">
        <v>100</v>
      </c>
      <c r="F13" s="32" t="s">
        <v>23</v>
      </c>
    </row>
    <row r="14" spans="2:5" s="32" customFormat="1" ht="21" customHeight="1">
      <c r="B14" s="32" t="s">
        <v>63</v>
      </c>
      <c r="E14" s="121">
        <f>E9*E11*E13</f>
        <v>10800</v>
      </c>
    </row>
    <row r="15" spans="1:12" s="32" customFormat="1" ht="18" customHeight="1">
      <c r="A15" s="4"/>
      <c r="B15" s="4" t="s">
        <v>64</v>
      </c>
      <c r="C15" s="63"/>
      <c r="D15" s="63"/>
      <c r="E15" s="122">
        <f>E14*E8</f>
        <v>518400</v>
      </c>
      <c r="F15" s="63"/>
      <c r="L15" s="32" t="s">
        <v>0</v>
      </c>
    </row>
    <row r="16" spans="1:12" s="32" customFormat="1" ht="18" customHeight="1">
      <c r="A16" s="44"/>
      <c r="B16" s="64" t="s">
        <v>30</v>
      </c>
      <c r="C16" s="65"/>
      <c r="D16" s="65"/>
      <c r="E16" s="65"/>
      <c r="F16" s="162"/>
      <c r="G16" s="44"/>
      <c r="H16" s="309" t="s">
        <v>88</v>
      </c>
      <c r="I16" s="310"/>
      <c r="J16" s="311"/>
      <c r="K16" s="168" t="s">
        <v>85</v>
      </c>
      <c r="L16" s="165" t="s">
        <v>51</v>
      </c>
    </row>
    <row r="17" spans="1:12" s="32" customFormat="1" ht="18" customHeight="1">
      <c r="A17" s="43"/>
      <c r="B17" s="9"/>
      <c r="C17" s="66" t="s">
        <v>57</v>
      </c>
      <c r="D17" s="4"/>
      <c r="E17" s="4"/>
      <c r="F17" s="152"/>
      <c r="G17" s="43"/>
      <c r="H17" s="42" t="s">
        <v>31</v>
      </c>
      <c r="I17" s="42" t="s">
        <v>32</v>
      </c>
      <c r="J17" s="42" t="s">
        <v>33</v>
      </c>
      <c r="K17" s="42" t="s">
        <v>34</v>
      </c>
      <c r="L17" s="61" t="s">
        <v>52</v>
      </c>
    </row>
    <row r="18" spans="1:12" s="45" customFormat="1" ht="30" customHeight="1">
      <c r="A18" s="128"/>
      <c r="B18" s="48"/>
      <c r="C18" s="47"/>
      <c r="D18" s="47"/>
      <c r="E18" s="47"/>
      <c r="F18" s="163"/>
      <c r="G18" s="95">
        <f>E15</f>
        <v>518400</v>
      </c>
      <c r="H18" s="96">
        <f>E15/G12*H12</f>
        <v>211200</v>
      </c>
      <c r="I18" s="96">
        <f>E15/G12*I12</f>
        <v>76800</v>
      </c>
      <c r="J18" s="96">
        <f>F15/4*J12</f>
        <v>0</v>
      </c>
      <c r="K18" s="96">
        <f>E15/G12*K12</f>
        <v>230400</v>
      </c>
      <c r="L18" s="60">
        <f>E13</f>
        <v>100</v>
      </c>
    </row>
    <row r="19" spans="1:13" s="32" customFormat="1" ht="24.75" customHeight="1">
      <c r="A19" s="43"/>
      <c r="B19" s="128" t="s">
        <v>74</v>
      </c>
      <c r="C19" s="43"/>
      <c r="D19" s="43"/>
      <c r="E19" s="43"/>
      <c r="F19" s="43"/>
      <c r="G19" s="129"/>
      <c r="H19" s="129"/>
      <c r="I19" s="129"/>
      <c r="J19" s="129"/>
      <c r="K19" s="129"/>
      <c r="L19" s="42"/>
      <c r="M19" s="45"/>
    </row>
    <row r="20" spans="1:13" s="32" customFormat="1" ht="19.5" customHeight="1">
      <c r="A20" s="43"/>
      <c r="B20" s="67"/>
      <c r="C20" s="68"/>
      <c r="D20" s="68"/>
      <c r="E20" s="68"/>
      <c r="F20" s="69"/>
      <c r="G20" s="97">
        <f aca="true" t="shared" si="0" ref="G20:G31">SUM(H20:K20)</f>
        <v>315939</v>
      </c>
      <c r="H20" s="97">
        <f>H21+H23</f>
        <v>128716</v>
      </c>
      <c r="I20" s="97">
        <f>I21+I23</f>
        <v>46806</v>
      </c>
      <c r="J20" s="97"/>
      <c r="K20" s="97">
        <f>K21+K23</f>
        <v>140417</v>
      </c>
      <c r="L20" s="80">
        <f aca="true" t="shared" si="1" ref="L20:L51">(G20/8*$L$18)/($G$18/8)</f>
        <v>60.95</v>
      </c>
      <c r="M20" s="226">
        <f>G20/G18</f>
        <v>0.61</v>
      </c>
    </row>
    <row r="21" spans="1:13" s="32" customFormat="1" ht="17.25" customHeight="1">
      <c r="A21" s="43" t="s">
        <v>35</v>
      </c>
      <c r="B21" s="70" t="s">
        <v>36</v>
      </c>
      <c r="C21" s="14"/>
      <c r="D21" s="14"/>
      <c r="E21" s="14"/>
      <c r="F21" s="24"/>
      <c r="G21" s="98">
        <f t="shared" si="0"/>
        <v>242656</v>
      </c>
      <c r="H21" s="98">
        <f>(((600*2*8)+(600*1*8)+(600*1*8)+4500)*1.3*2.75)*1.1668</f>
        <v>98860</v>
      </c>
      <c r="I21" s="98">
        <f>(((600*2*8)+(600*1*8)+(600*1*8)+4500)*1*1.3)*1.1668</f>
        <v>35949</v>
      </c>
      <c r="J21" s="98">
        <f>J20/1.342</f>
        <v>0</v>
      </c>
      <c r="K21" s="98">
        <f>(((600*2*8)+(600*1*8)+(600*1*8)+4500)*1.3*3)*1.1668</f>
        <v>107847</v>
      </c>
      <c r="L21" s="85">
        <f t="shared" si="1"/>
        <v>46.81</v>
      </c>
      <c r="M21" s="226"/>
    </row>
    <row r="22" spans="1:13" s="32" customFormat="1" ht="17.25" customHeight="1">
      <c r="A22" s="130" t="s">
        <v>29</v>
      </c>
      <c r="B22" s="70" t="s">
        <v>37</v>
      </c>
      <c r="C22" s="14"/>
      <c r="D22" s="14"/>
      <c r="E22" s="14"/>
      <c r="F22" s="24"/>
      <c r="G22" s="99">
        <f t="shared" si="0"/>
        <v>0</v>
      </c>
      <c r="H22" s="99"/>
      <c r="I22" s="99"/>
      <c r="J22" s="99"/>
      <c r="K22" s="99"/>
      <c r="L22" s="86">
        <f t="shared" si="1"/>
        <v>0</v>
      </c>
      <c r="M22" s="227"/>
    </row>
    <row r="23" spans="1:13" s="32" customFormat="1" ht="17.25" customHeight="1">
      <c r="A23" s="130" t="s">
        <v>29</v>
      </c>
      <c r="B23" s="71" t="s">
        <v>38</v>
      </c>
      <c r="C23" s="73"/>
      <c r="D23" s="73"/>
      <c r="E23" s="73"/>
      <c r="F23" s="140"/>
      <c r="G23" s="100">
        <f t="shared" si="0"/>
        <v>73283</v>
      </c>
      <c r="H23" s="100">
        <f>H21*30.2%</f>
        <v>29856</v>
      </c>
      <c r="I23" s="100">
        <f>I21*30.2%</f>
        <v>10857</v>
      </c>
      <c r="J23" s="100">
        <f>J21*30.2%</f>
        <v>0</v>
      </c>
      <c r="K23" s="100">
        <f>K21*30.2%</f>
        <v>32570</v>
      </c>
      <c r="L23" s="100">
        <f>L21*30.2%</f>
        <v>14</v>
      </c>
      <c r="M23" s="226"/>
    </row>
    <row r="24" spans="1:19" s="5" customFormat="1" ht="20.25">
      <c r="A24" s="131"/>
      <c r="B24" s="58" t="s">
        <v>75</v>
      </c>
      <c r="C24" s="59"/>
      <c r="D24" s="59"/>
      <c r="E24" s="59"/>
      <c r="F24" s="141"/>
      <c r="G24" s="97">
        <f>SUM(H24:K24)</f>
        <v>84499</v>
      </c>
      <c r="H24" s="166">
        <f>H25+H26+H27+H40+H41+H46</f>
        <v>34426</v>
      </c>
      <c r="I24" s="166">
        <f>I25+I26+I27+I40+I41+I46</f>
        <v>12518</v>
      </c>
      <c r="J24" s="166">
        <f>J25+J26+J27+J40+J41+J46</f>
        <v>0</v>
      </c>
      <c r="K24" s="166">
        <f>K25+K26+K27+K40+K41+K46</f>
        <v>37555</v>
      </c>
      <c r="L24" s="80">
        <f t="shared" si="1"/>
        <v>16.3</v>
      </c>
      <c r="M24" s="228"/>
      <c r="N24" s="170">
        <f>G48/G18</f>
        <v>0</v>
      </c>
      <c r="P24" s="169"/>
      <c r="Q24" s="169"/>
      <c r="R24" s="169"/>
      <c r="S24" s="32"/>
    </row>
    <row r="25" spans="1:19" s="6" customFormat="1" ht="17.25" customHeight="1">
      <c r="A25" s="132"/>
      <c r="B25" s="46" t="s">
        <v>39</v>
      </c>
      <c r="C25" s="7"/>
      <c r="D25" s="7"/>
      <c r="E25" s="7"/>
      <c r="F25" s="142"/>
      <c r="G25" s="101">
        <f t="shared" si="0"/>
        <v>0</v>
      </c>
      <c r="H25" s="101"/>
      <c r="I25" s="101"/>
      <c r="J25" s="101"/>
      <c r="K25" s="101"/>
      <c r="L25" s="80">
        <f t="shared" si="1"/>
        <v>0</v>
      </c>
      <c r="M25" s="227"/>
      <c r="O25" s="5"/>
      <c r="P25" s="169"/>
      <c r="Q25" s="169"/>
      <c r="R25" s="169"/>
      <c r="S25" s="32"/>
    </row>
    <row r="26" spans="1:13" s="6" customFormat="1" ht="17.25" customHeight="1">
      <c r="A26" s="132"/>
      <c r="B26" s="46" t="s">
        <v>40</v>
      </c>
      <c r="C26" s="7"/>
      <c r="D26" s="7"/>
      <c r="E26" s="7"/>
      <c r="F26" s="142"/>
      <c r="G26" s="101">
        <f t="shared" si="0"/>
        <v>0</v>
      </c>
      <c r="H26" s="101"/>
      <c r="I26" s="102"/>
      <c r="J26" s="102"/>
      <c r="K26" s="102"/>
      <c r="L26" s="80">
        <f t="shared" si="1"/>
        <v>0</v>
      </c>
      <c r="M26" s="227"/>
    </row>
    <row r="27" spans="1:14" s="6" customFormat="1" ht="18" customHeight="1">
      <c r="A27" s="132"/>
      <c r="B27" s="83" t="s">
        <v>58</v>
      </c>
      <c r="C27" s="20"/>
      <c r="D27" s="20"/>
      <c r="E27" s="20"/>
      <c r="F27" s="143"/>
      <c r="G27" s="101">
        <f>SUM(H27:K27)</f>
        <v>51840</v>
      </c>
      <c r="H27" s="101">
        <f>H28+H31+H35</f>
        <v>21120</v>
      </c>
      <c r="I27" s="101">
        <f>I28+I31+I35</f>
        <v>7680</v>
      </c>
      <c r="J27" s="101">
        <f>J28+J31+J35</f>
        <v>0</v>
      </c>
      <c r="K27" s="101">
        <f>K28+K31+K35</f>
        <v>23040</v>
      </c>
      <c r="L27" s="80">
        <f t="shared" si="1"/>
        <v>10</v>
      </c>
      <c r="M27" s="226">
        <f>G27/G18</f>
        <v>0.1</v>
      </c>
      <c r="N27" s="75"/>
    </row>
    <row r="28" spans="1:14" s="8" customFormat="1" ht="19.5">
      <c r="A28" s="133"/>
      <c r="B28" s="22" t="s">
        <v>1</v>
      </c>
      <c r="C28" s="23"/>
      <c r="D28" s="23"/>
      <c r="E28" s="23"/>
      <c r="F28" s="144"/>
      <c r="G28" s="103">
        <f t="shared" si="0"/>
        <v>33696</v>
      </c>
      <c r="H28" s="103">
        <f>6.5%*H18</f>
        <v>13728</v>
      </c>
      <c r="I28" s="103">
        <f>6.5%*I18</f>
        <v>4992</v>
      </c>
      <c r="J28" s="103"/>
      <c r="K28" s="103">
        <f>6.5%*K18</f>
        <v>14976</v>
      </c>
      <c r="L28" s="85">
        <f t="shared" si="1"/>
        <v>6.5</v>
      </c>
      <c r="M28" s="226"/>
      <c r="N28" s="76"/>
    </row>
    <row r="29" spans="1:14" s="10" customFormat="1" ht="19.5" hidden="1">
      <c r="A29" s="134"/>
      <c r="B29" s="15" t="s">
        <v>2</v>
      </c>
      <c r="C29" s="12"/>
      <c r="D29" s="12" t="s">
        <v>3</v>
      </c>
      <c r="E29" s="12"/>
      <c r="F29" s="145" t="s">
        <v>4</v>
      </c>
      <c r="G29" s="104">
        <f t="shared" si="0"/>
        <v>0</v>
      </c>
      <c r="H29" s="104"/>
      <c r="I29" s="104"/>
      <c r="J29" s="104"/>
      <c r="K29" s="104"/>
      <c r="L29" s="86">
        <f t="shared" si="1"/>
        <v>0</v>
      </c>
      <c r="M29" s="227"/>
      <c r="N29" s="77"/>
    </row>
    <row r="30" spans="1:14" s="10" customFormat="1" ht="19.5" hidden="1">
      <c r="A30" s="134"/>
      <c r="B30" s="16" t="s">
        <v>5</v>
      </c>
      <c r="C30" s="17">
        <f>C29</f>
        <v>0</v>
      </c>
      <c r="D30" s="17" t="s">
        <v>6</v>
      </c>
      <c r="E30" s="17"/>
      <c r="F30" s="146"/>
      <c r="G30" s="104">
        <f t="shared" si="0"/>
        <v>0</v>
      </c>
      <c r="H30" s="104"/>
      <c r="I30" s="104"/>
      <c r="J30" s="104"/>
      <c r="K30" s="104"/>
      <c r="L30" s="86">
        <f t="shared" si="1"/>
        <v>0</v>
      </c>
      <c r="M30" s="227"/>
      <c r="N30" s="77"/>
    </row>
    <row r="31" spans="1:14" s="8" customFormat="1" ht="19.5">
      <c r="A31" s="133"/>
      <c r="B31" s="13" t="s">
        <v>7</v>
      </c>
      <c r="C31" s="14"/>
      <c r="D31" s="14"/>
      <c r="E31" s="14"/>
      <c r="F31" s="147"/>
      <c r="G31" s="105">
        <f t="shared" si="0"/>
        <v>10886</v>
      </c>
      <c r="H31" s="105">
        <f>2.1%*H18</f>
        <v>4435</v>
      </c>
      <c r="I31" s="105">
        <f>2.1%*I18</f>
        <v>1613</v>
      </c>
      <c r="J31" s="105">
        <f>2%*J18</f>
        <v>0</v>
      </c>
      <c r="K31" s="105">
        <f>2.1%*K18</f>
        <v>4838</v>
      </c>
      <c r="L31" s="86">
        <f t="shared" si="1"/>
        <v>2.1</v>
      </c>
      <c r="M31" s="226"/>
      <c r="N31" s="76"/>
    </row>
    <row r="32" spans="1:14" s="10" customFormat="1" ht="19.5" hidden="1">
      <c r="A32" s="134"/>
      <c r="B32" s="11"/>
      <c r="C32" s="12"/>
      <c r="D32" s="12">
        <f>1.44*24*3</f>
        <v>103.68</v>
      </c>
      <c r="E32" s="12" t="s">
        <v>67</v>
      </c>
      <c r="F32" s="148"/>
      <c r="G32" s="135"/>
      <c r="H32" s="104"/>
      <c r="I32" s="104"/>
      <c r="J32" s="104"/>
      <c r="K32" s="104"/>
      <c r="L32" s="86">
        <f t="shared" si="1"/>
        <v>0</v>
      </c>
      <c r="M32" s="227"/>
      <c r="N32" s="77"/>
    </row>
    <row r="33" spans="1:14" s="10" customFormat="1" ht="19.5" hidden="1">
      <c r="A33" s="134"/>
      <c r="B33" s="11" t="s">
        <v>48</v>
      </c>
      <c r="C33" s="149"/>
      <c r="D33" s="12"/>
      <c r="E33" s="12"/>
      <c r="F33" s="145"/>
      <c r="G33" s="104"/>
      <c r="H33" s="104"/>
      <c r="I33" s="104"/>
      <c r="J33" s="104"/>
      <c r="K33" s="104"/>
      <c r="L33" s="86">
        <f t="shared" si="1"/>
        <v>0</v>
      </c>
      <c r="M33" s="227"/>
      <c r="N33" s="77"/>
    </row>
    <row r="34" spans="1:14" s="10" customFormat="1" ht="19.5" hidden="1">
      <c r="A34" s="134"/>
      <c r="B34" s="83"/>
      <c r="C34" s="12" t="s">
        <v>49</v>
      </c>
      <c r="D34" s="12"/>
      <c r="E34" s="12"/>
      <c r="F34" s="150"/>
      <c r="G34" s="104" t="s">
        <v>50</v>
      </c>
      <c r="H34" s="104"/>
      <c r="I34" s="104"/>
      <c r="J34" s="104"/>
      <c r="K34" s="104"/>
      <c r="L34" s="86" t="e">
        <f t="shared" si="1"/>
        <v>#VALUE!</v>
      </c>
      <c r="M34" s="227"/>
      <c r="N34" s="77"/>
    </row>
    <row r="35" spans="1:14" s="8" customFormat="1" ht="19.5">
      <c r="A35" s="133"/>
      <c r="B35" s="22" t="s">
        <v>8</v>
      </c>
      <c r="C35" s="14"/>
      <c r="D35" s="14"/>
      <c r="E35" s="14"/>
      <c r="F35" s="144"/>
      <c r="G35" s="106">
        <f>SUM(H35:K35)</f>
        <v>7258</v>
      </c>
      <c r="H35" s="106">
        <f>1.4%*H18</f>
        <v>2957</v>
      </c>
      <c r="I35" s="106">
        <f>1.4%*I18</f>
        <v>1075</v>
      </c>
      <c r="J35" s="106">
        <f>(12.69+13.09+20.75)*J12</f>
        <v>0</v>
      </c>
      <c r="K35" s="106">
        <f>1.4%*K18</f>
        <v>3226</v>
      </c>
      <c r="L35" s="87">
        <f t="shared" si="1"/>
        <v>1.4</v>
      </c>
      <c r="M35" s="226"/>
      <c r="N35" s="76"/>
    </row>
    <row r="36" spans="1:13" s="10" customFormat="1" ht="19.5" hidden="1">
      <c r="A36" s="134"/>
      <c r="B36" s="11" t="s">
        <v>9</v>
      </c>
      <c r="C36" s="12"/>
      <c r="D36" s="12">
        <v>10.5</v>
      </c>
      <c r="E36" s="12" t="s">
        <v>65</v>
      </c>
      <c r="F36" s="151"/>
      <c r="G36" s="107"/>
      <c r="H36" s="107"/>
      <c r="I36" s="107"/>
      <c r="J36" s="107"/>
      <c r="K36" s="107"/>
      <c r="L36" s="124">
        <f t="shared" si="1"/>
        <v>0</v>
      </c>
      <c r="M36" s="226"/>
    </row>
    <row r="37" spans="1:13" s="10" customFormat="1" ht="19.5" hidden="1">
      <c r="A37" s="134"/>
      <c r="B37" s="11" t="s">
        <v>10</v>
      </c>
      <c r="C37" s="12"/>
      <c r="D37" s="12">
        <v>14.5</v>
      </c>
      <c r="E37" s="12" t="s">
        <v>66</v>
      </c>
      <c r="F37" s="151"/>
      <c r="G37" s="107"/>
      <c r="H37" s="107"/>
      <c r="I37" s="107"/>
      <c r="J37" s="107"/>
      <c r="K37" s="107"/>
      <c r="L37" s="124">
        <f t="shared" si="1"/>
        <v>0</v>
      </c>
      <c r="M37" s="226"/>
    </row>
    <row r="38" spans="1:13" s="8" customFormat="1" ht="11.25" customHeight="1" hidden="1">
      <c r="A38" s="133"/>
      <c r="B38" s="18"/>
      <c r="C38" s="4"/>
      <c r="D38" s="4"/>
      <c r="E38" s="4"/>
      <c r="F38" s="152"/>
      <c r="G38" s="108"/>
      <c r="H38" s="108"/>
      <c r="I38" s="108"/>
      <c r="J38" s="109"/>
      <c r="K38" s="109"/>
      <c r="L38" s="124">
        <f t="shared" si="1"/>
        <v>0</v>
      </c>
      <c r="M38" s="226"/>
    </row>
    <row r="39" spans="1:13" s="6" customFormat="1" ht="18.75" customHeight="1" hidden="1">
      <c r="A39" s="132"/>
      <c r="B39" s="49" t="s">
        <v>41</v>
      </c>
      <c r="C39" s="7"/>
      <c r="D39" s="7"/>
      <c r="E39" s="7"/>
      <c r="F39" s="142"/>
      <c r="G39" s="110"/>
      <c r="H39" s="110"/>
      <c r="I39" s="110"/>
      <c r="J39" s="108"/>
      <c r="K39" s="108"/>
      <c r="L39" s="93">
        <f t="shared" si="1"/>
        <v>0</v>
      </c>
      <c r="M39" s="226"/>
    </row>
    <row r="40" spans="1:13" s="6" customFormat="1" ht="20.25" customHeight="1" hidden="1">
      <c r="A40" s="132"/>
      <c r="B40" s="51"/>
      <c r="C40" s="19"/>
      <c r="D40" s="19"/>
      <c r="E40" s="19"/>
      <c r="F40" s="153"/>
      <c r="G40" s="100">
        <f aca="true" t="shared" si="2" ref="G40:G50">SUM(H40:K40)</f>
        <v>0</v>
      </c>
      <c r="H40" s="111"/>
      <c r="I40" s="111"/>
      <c r="J40" s="111"/>
      <c r="K40" s="111"/>
      <c r="L40" s="87">
        <f t="shared" si="1"/>
        <v>0</v>
      </c>
      <c r="M40" s="226"/>
    </row>
    <row r="41" spans="1:13" s="6" customFormat="1" ht="21" customHeight="1" hidden="1">
      <c r="A41" s="132"/>
      <c r="B41" s="50" t="s">
        <v>42</v>
      </c>
      <c r="C41" s="20"/>
      <c r="D41" s="20"/>
      <c r="E41" s="20"/>
      <c r="F41" s="143"/>
      <c r="G41" s="101">
        <f t="shared" si="2"/>
        <v>0</v>
      </c>
      <c r="H41" s="101">
        <f>H42+H44+H45</f>
        <v>0</v>
      </c>
      <c r="I41" s="101">
        <f>I42+I44+I45</f>
        <v>0</v>
      </c>
      <c r="J41" s="101">
        <f>J42+J44+J45</f>
        <v>0</v>
      </c>
      <c r="K41" s="101">
        <f>K42+K44+K45</f>
        <v>0</v>
      </c>
      <c r="L41" s="80">
        <f t="shared" si="1"/>
        <v>0</v>
      </c>
      <c r="M41" s="226"/>
    </row>
    <row r="42" spans="1:13" s="21" customFormat="1" ht="15" customHeight="1" hidden="1">
      <c r="A42" s="136"/>
      <c r="B42" s="22" t="s">
        <v>11</v>
      </c>
      <c r="C42" s="23"/>
      <c r="D42" s="23"/>
      <c r="E42" s="23"/>
      <c r="F42" s="144"/>
      <c r="G42" s="112">
        <f t="shared" si="2"/>
        <v>0</v>
      </c>
      <c r="H42" s="112"/>
      <c r="I42" s="112"/>
      <c r="J42" s="112"/>
      <c r="K42" s="112"/>
      <c r="L42" s="123">
        <f t="shared" si="1"/>
        <v>0</v>
      </c>
      <c r="M42" s="226"/>
    </row>
    <row r="43" spans="1:13" s="10" customFormat="1" ht="15" customHeight="1" hidden="1">
      <c r="A43" s="134"/>
      <c r="B43" s="11" t="s">
        <v>12</v>
      </c>
      <c r="C43" s="12"/>
      <c r="D43" s="12"/>
      <c r="E43" s="12"/>
      <c r="F43" s="145" t="s">
        <v>13</v>
      </c>
      <c r="G43" s="105">
        <f t="shared" si="2"/>
        <v>0</v>
      </c>
      <c r="H43" s="104">
        <f>ROUND(E43*0.976*1.18,1)</f>
        <v>0</v>
      </c>
      <c r="I43" s="104">
        <f>ROUND(E43*0.976*1.18,1)</f>
        <v>0</v>
      </c>
      <c r="J43" s="104"/>
      <c r="K43" s="104"/>
      <c r="L43" s="86">
        <f t="shared" si="1"/>
        <v>0</v>
      </c>
      <c r="M43" s="227"/>
    </row>
    <row r="44" spans="1:13" s="8" customFormat="1" ht="15" customHeight="1" hidden="1">
      <c r="A44" s="133"/>
      <c r="B44" s="13" t="s">
        <v>73</v>
      </c>
      <c r="C44" s="14"/>
      <c r="D44" s="14"/>
      <c r="E44" s="14"/>
      <c r="F44" s="147"/>
      <c r="G44" s="105">
        <f t="shared" si="2"/>
        <v>0</v>
      </c>
      <c r="H44" s="105"/>
      <c r="I44" s="105"/>
      <c r="J44" s="105"/>
      <c r="K44" s="105"/>
      <c r="L44" s="86">
        <f t="shared" si="1"/>
        <v>0</v>
      </c>
      <c r="M44" s="227"/>
    </row>
    <row r="45" spans="1:13" s="10" customFormat="1" ht="15" customHeight="1" hidden="1">
      <c r="A45" s="134"/>
      <c r="B45" s="13" t="s">
        <v>14</v>
      </c>
      <c r="C45" s="25"/>
      <c r="D45" s="25"/>
      <c r="E45" s="25"/>
      <c r="F45" s="154"/>
      <c r="G45" s="106">
        <f t="shared" si="2"/>
        <v>0</v>
      </c>
      <c r="H45" s="106"/>
      <c r="I45" s="106"/>
      <c r="J45" s="106"/>
      <c r="K45" s="106"/>
      <c r="L45" s="87">
        <f t="shared" si="1"/>
        <v>0</v>
      </c>
      <c r="M45" s="227"/>
    </row>
    <row r="46" spans="1:22" s="6" customFormat="1" ht="15.75" customHeight="1">
      <c r="A46" s="132"/>
      <c r="B46" s="50" t="s">
        <v>43</v>
      </c>
      <c r="C46" s="20"/>
      <c r="D46" s="20"/>
      <c r="E46" s="20"/>
      <c r="F46" s="143"/>
      <c r="G46" s="101">
        <f t="shared" si="2"/>
        <v>32659</v>
      </c>
      <c r="H46" s="101">
        <f>SUM(H47:H50)</f>
        <v>13306</v>
      </c>
      <c r="I46" s="101">
        <f>SUM(I47:I50)</f>
        <v>4838</v>
      </c>
      <c r="J46" s="101">
        <f>SUM(J47:J50)</f>
        <v>0</v>
      </c>
      <c r="K46" s="101">
        <f>SUM(K47:K50)</f>
        <v>14515</v>
      </c>
      <c r="L46" s="80">
        <f t="shared" si="1"/>
        <v>6.3</v>
      </c>
      <c r="M46" s="226">
        <f>G46/G18</f>
        <v>0.06</v>
      </c>
      <c r="O46" s="32"/>
      <c r="P46" s="32"/>
      <c r="Q46" s="32"/>
      <c r="R46" s="32"/>
      <c r="S46" s="32"/>
      <c r="T46" s="32"/>
      <c r="U46" s="32"/>
      <c r="V46" s="32"/>
    </row>
    <row r="47" spans="1:22" s="8" customFormat="1" ht="15.75" customHeight="1">
      <c r="A47" s="133"/>
      <c r="B47" s="22" t="s">
        <v>72</v>
      </c>
      <c r="C47" s="23"/>
      <c r="D47" s="23"/>
      <c r="E47" s="23"/>
      <c r="F47" s="125"/>
      <c r="G47" s="103">
        <f t="shared" si="2"/>
        <v>25920</v>
      </c>
      <c r="H47" s="103">
        <f>H18*0.05</f>
        <v>10560</v>
      </c>
      <c r="I47" s="103">
        <f>I18*0.05</f>
        <v>3840</v>
      </c>
      <c r="J47" s="103">
        <f>J18*0.05</f>
        <v>0</v>
      </c>
      <c r="K47" s="103">
        <f>K18*0.05</f>
        <v>11520</v>
      </c>
      <c r="L47" s="85">
        <f t="shared" si="1"/>
        <v>5</v>
      </c>
      <c r="M47" s="227"/>
      <c r="O47" s="32"/>
      <c r="P47" s="32"/>
      <c r="Q47" s="32"/>
      <c r="R47" s="32"/>
      <c r="S47" s="32"/>
      <c r="T47" s="32"/>
      <c r="U47" s="32"/>
      <c r="V47" s="32"/>
    </row>
    <row r="48" spans="1:22" s="8" customFormat="1" ht="15" customHeight="1">
      <c r="A48" s="133"/>
      <c r="B48" s="13" t="s">
        <v>71</v>
      </c>
      <c r="C48" s="14"/>
      <c r="D48" s="14"/>
      <c r="E48" s="14"/>
      <c r="F48" s="24"/>
      <c r="G48" s="105">
        <f>SUM(H48:K48)</f>
        <v>0</v>
      </c>
      <c r="H48" s="105"/>
      <c r="I48" s="105"/>
      <c r="J48" s="105"/>
      <c r="K48" s="105"/>
      <c r="L48" s="86">
        <f t="shared" si="1"/>
        <v>0</v>
      </c>
      <c r="M48" s="227"/>
      <c r="O48" s="5"/>
      <c r="P48" s="169"/>
      <c r="Q48" s="169"/>
      <c r="R48" s="169"/>
      <c r="S48" s="32"/>
      <c r="T48" s="5"/>
      <c r="U48" s="5"/>
      <c r="V48" s="5"/>
    </row>
    <row r="49" spans="1:22" s="8" customFormat="1" ht="15" customHeight="1">
      <c r="A49" s="133"/>
      <c r="B49" s="13" t="s">
        <v>83</v>
      </c>
      <c r="C49" s="14"/>
      <c r="D49" s="14"/>
      <c r="E49" s="14"/>
      <c r="F49" s="24"/>
      <c r="G49" s="176">
        <f>SUM(H49:K49)</f>
        <v>6739</v>
      </c>
      <c r="H49" s="103">
        <f>H18*1.3%</f>
        <v>2746</v>
      </c>
      <c r="I49" s="103">
        <f>I18*1.3%</f>
        <v>998</v>
      </c>
      <c r="J49" s="103">
        <f>J18*1.3%</f>
        <v>0</v>
      </c>
      <c r="K49" s="103">
        <f>K18*1.3%</f>
        <v>2995</v>
      </c>
      <c r="L49" s="87">
        <f t="shared" si="1"/>
        <v>1.3</v>
      </c>
      <c r="M49" s="227"/>
      <c r="O49" s="5"/>
      <c r="P49" s="169"/>
      <c r="Q49" s="169"/>
      <c r="R49" s="169"/>
      <c r="S49" s="32"/>
      <c r="T49" s="6"/>
      <c r="U49" s="6"/>
      <c r="V49" s="6"/>
    </row>
    <row r="50" spans="1:22" s="10" customFormat="1" ht="15" customHeight="1">
      <c r="A50" s="134"/>
      <c r="B50" s="26" t="s">
        <v>80</v>
      </c>
      <c r="C50" s="173"/>
      <c r="D50" s="173"/>
      <c r="E50" s="27"/>
      <c r="F50" s="155"/>
      <c r="G50" s="106">
        <f t="shared" si="2"/>
        <v>0</v>
      </c>
      <c r="H50" s="106"/>
      <c r="I50" s="106"/>
      <c r="J50" s="106"/>
      <c r="K50" s="106"/>
      <c r="L50" s="124">
        <f t="shared" si="1"/>
        <v>0</v>
      </c>
      <c r="M50" s="227"/>
      <c r="O50" s="6"/>
      <c r="P50" s="6"/>
      <c r="Q50" s="6"/>
      <c r="R50" s="6"/>
      <c r="S50" s="6"/>
      <c r="T50" s="6"/>
      <c r="U50" s="6"/>
      <c r="V50" s="6"/>
    </row>
    <row r="51" spans="1:22" s="5" customFormat="1" ht="15" customHeight="1">
      <c r="A51" s="131"/>
      <c r="B51" s="57" t="s">
        <v>76</v>
      </c>
      <c r="C51" s="31"/>
      <c r="D51" s="31"/>
      <c r="E51" s="31"/>
      <c r="F51" s="156"/>
      <c r="G51" s="98"/>
      <c r="H51" s="98"/>
      <c r="I51" s="98"/>
      <c r="J51" s="98"/>
      <c r="K51" s="98"/>
      <c r="L51" s="85">
        <f t="shared" si="1"/>
        <v>0</v>
      </c>
      <c r="M51" s="227"/>
      <c r="O51" s="6"/>
      <c r="P51" s="6"/>
      <c r="Q51" s="6"/>
      <c r="R51" s="6"/>
      <c r="S51" s="6"/>
      <c r="T51" s="6"/>
      <c r="U51" s="6"/>
      <c r="V51" s="6"/>
    </row>
    <row r="52" spans="1:22" s="5" customFormat="1" ht="15" customHeight="1">
      <c r="A52" s="131"/>
      <c r="B52" s="54"/>
      <c r="C52" s="30"/>
      <c r="D52" s="30"/>
      <c r="E52" s="30"/>
      <c r="F52" s="157"/>
      <c r="G52" s="100"/>
      <c r="H52" s="100"/>
      <c r="I52" s="100"/>
      <c r="J52" s="100"/>
      <c r="K52" s="100"/>
      <c r="L52" s="87">
        <f aca="true" t="shared" si="3" ref="L52:L71">(G52/8*$L$18)/($G$18/8)</f>
        <v>0</v>
      </c>
      <c r="M52" s="227"/>
      <c r="O52" s="8"/>
      <c r="P52" s="8"/>
      <c r="Q52" s="8"/>
      <c r="R52" s="8"/>
      <c r="S52" s="8"/>
      <c r="T52" s="8"/>
      <c r="U52" s="8"/>
      <c r="V52" s="8"/>
    </row>
    <row r="53" spans="1:22" s="5" customFormat="1" ht="15" customHeight="1">
      <c r="A53" s="131"/>
      <c r="B53" s="57" t="s">
        <v>77</v>
      </c>
      <c r="C53" s="52"/>
      <c r="D53" s="52"/>
      <c r="E53" s="52"/>
      <c r="F53" s="158"/>
      <c r="G53" s="98"/>
      <c r="H53" s="98"/>
      <c r="I53" s="98"/>
      <c r="J53" s="98"/>
      <c r="K53" s="98"/>
      <c r="L53" s="85">
        <f t="shared" si="3"/>
        <v>0</v>
      </c>
      <c r="M53" s="227"/>
      <c r="O53" s="10"/>
      <c r="P53" s="10"/>
      <c r="Q53" s="10"/>
      <c r="R53" s="10"/>
      <c r="S53" s="10"/>
      <c r="T53" s="10"/>
      <c r="U53" s="10"/>
      <c r="V53" s="10"/>
    </row>
    <row r="54" spans="1:22" s="5" customFormat="1" ht="15" customHeight="1">
      <c r="A54" s="131"/>
      <c r="B54" s="55"/>
      <c r="C54" s="53"/>
      <c r="D54" s="53"/>
      <c r="E54" s="53"/>
      <c r="F54" s="159"/>
      <c r="G54" s="113">
        <f aca="true" t="shared" si="4" ref="G54:G71">SUM(H54:K54)</f>
        <v>117962</v>
      </c>
      <c r="H54" s="113">
        <f>H60+H55</f>
        <v>48058</v>
      </c>
      <c r="I54" s="113">
        <f>I60+I55</f>
        <v>17476</v>
      </c>
      <c r="J54" s="113">
        <f>J60+J55</f>
        <v>0</v>
      </c>
      <c r="K54" s="113">
        <f>K60+K55</f>
        <v>52428</v>
      </c>
      <c r="L54" s="87">
        <f t="shared" si="3"/>
        <v>22.76</v>
      </c>
      <c r="M54" s="226">
        <f>G54/G18</f>
        <v>0.23</v>
      </c>
      <c r="O54" s="10"/>
      <c r="P54" s="10"/>
      <c r="Q54" s="10"/>
      <c r="R54" s="10"/>
      <c r="S54" s="10"/>
      <c r="T54" s="10"/>
      <c r="U54" s="10"/>
      <c r="V54" s="10"/>
    </row>
    <row r="55" spans="1:22" s="28" customFormat="1" ht="18.75" customHeight="1">
      <c r="A55" s="137"/>
      <c r="B55" s="83" t="s">
        <v>45</v>
      </c>
      <c r="C55" s="84"/>
      <c r="D55" s="84"/>
      <c r="E55" s="84"/>
      <c r="F55" s="160"/>
      <c r="G55" s="101">
        <f t="shared" si="4"/>
        <v>0</v>
      </c>
      <c r="H55" s="101">
        <f>SUM(H56:H59)</f>
        <v>0</v>
      </c>
      <c r="I55" s="101">
        <f>SUM(I56:I59)</f>
        <v>0</v>
      </c>
      <c r="J55" s="101">
        <f>SUM(J56:J59)</f>
        <v>0</v>
      </c>
      <c r="K55" s="101">
        <f>SUM(K56:K59)</f>
        <v>0</v>
      </c>
      <c r="L55" s="80">
        <f t="shared" si="3"/>
        <v>0</v>
      </c>
      <c r="M55" s="226"/>
      <c r="O55" s="8"/>
      <c r="P55" s="8"/>
      <c r="Q55" s="8"/>
      <c r="R55" s="8"/>
      <c r="S55" s="8"/>
      <c r="T55" s="8"/>
      <c r="U55" s="8"/>
      <c r="V55" s="8"/>
    </row>
    <row r="56" spans="1:13" s="21" customFormat="1" ht="15" customHeight="1">
      <c r="A56" s="136"/>
      <c r="B56" s="22" t="s">
        <v>59</v>
      </c>
      <c r="C56" s="23"/>
      <c r="D56" s="23"/>
      <c r="E56" s="23"/>
      <c r="F56" s="174"/>
      <c r="G56" s="103">
        <f t="shared" si="4"/>
        <v>0</v>
      </c>
      <c r="H56" s="114"/>
      <c r="I56" s="114"/>
      <c r="J56" s="114"/>
      <c r="K56" s="114"/>
      <c r="L56" s="85">
        <f t="shared" si="3"/>
        <v>0</v>
      </c>
      <c r="M56" s="226"/>
    </row>
    <row r="57" spans="1:13" s="21" customFormat="1" ht="15" customHeight="1">
      <c r="A57" s="136"/>
      <c r="B57" s="13" t="s">
        <v>15</v>
      </c>
      <c r="C57" s="14"/>
      <c r="D57" s="14"/>
      <c r="E57" s="14"/>
      <c r="F57" s="175"/>
      <c r="G57" s="105">
        <f t="shared" si="4"/>
        <v>0</v>
      </c>
      <c r="H57" s="99"/>
      <c r="I57" s="99"/>
      <c r="J57" s="99"/>
      <c r="K57" s="99"/>
      <c r="L57" s="86">
        <f t="shared" si="3"/>
        <v>0</v>
      </c>
      <c r="M57" s="226"/>
    </row>
    <row r="58" spans="1:16" s="8" customFormat="1" ht="15" customHeight="1">
      <c r="A58" s="133"/>
      <c r="B58" s="22" t="s">
        <v>60</v>
      </c>
      <c r="C58" s="23"/>
      <c r="D58" s="23"/>
      <c r="E58" s="23"/>
      <c r="F58" s="174"/>
      <c r="G58" s="105">
        <f t="shared" si="4"/>
        <v>0</v>
      </c>
      <c r="H58" s="99"/>
      <c r="I58" s="99"/>
      <c r="J58" s="99"/>
      <c r="K58" s="99"/>
      <c r="L58" s="86">
        <f t="shared" si="3"/>
        <v>0</v>
      </c>
      <c r="M58" s="226"/>
      <c r="O58" s="179">
        <f>P55+Q55+R55+S55+T55</f>
        <v>0</v>
      </c>
      <c r="P58" s="180">
        <f>O58-G48</f>
        <v>0</v>
      </c>
    </row>
    <row r="59" spans="1:17" s="8" customFormat="1" ht="15" customHeight="1">
      <c r="A59" s="133"/>
      <c r="B59" s="13" t="s">
        <v>16</v>
      </c>
      <c r="C59" s="14"/>
      <c r="D59" s="14"/>
      <c r="E59" s="14"/>
      <c r="F59" s="175"/>
      <c r="G59" s="106">
        <f t="shared" si="4"/>
        <v>0</v>
      </c>
      <c r="H59" s="100"/>
      <c r="I59" s="100"/>
      <c r="J59" s="100"/>
      <c r="K59" s="100"/>
      <c r="L59" s="87">
        <f t="shared" si="3"/>
        <v>0</v>
      </c>
      <c r="M59" s="227"/>
      <c r="Q59" s="8" t="s">
        <v>82</v>
      </c>
    </row>
    <row r="60" spans="1:21" s="6" customFormat="1" ht="15.75" customHeight="1">
      <c r="A60" s="132"/>
      <c r="B60" s="83" t="s">
        <v>44</v>
      </c>
      <c r="C60" s="20"/>
      <c r="D60" s="20"/>
      <c r="E60" s="20"/>
      <c r="F60" s="143"/>
      <c r="G60" s="101">
        <f t="shared" si="4"/>
        <v>117962</v>
      </c>
      <c r="H60" s="101">
        <f>SUM(H61:H64)+H71</f>
        <v>48058</v>
      </c>
      <c r="I60" s="101">
        <f>SUM(I61:I64)+I71</f>
        <v>17476</v>
      </c>
      <c r="J60" s="101">
        <f>SUM(J61:J64)+J71</f>
        <v>0</v>
      </c>
      <c r="K60" s="101">
        <f>SUM(K61:K64)+K71</f>
        <v>52428</v>
      </c>
      <c r="L60" s="80">
        <f t="shared" si="3"/>
        <v>22.76</v>
      </c>
      <c r="M60" s="226"/>
      <c r="R60" s="164"/>
      <c r="T60" s="164"/>
      <c r="U60" s="164"/>
    </row>
    <row r="61" spans="1:13" s="21" customFormat="1" ht="15" customHeight="1">
      <c r="A61" s="136"/>
      <c r="B61" s="22" t="s">
        <v>17</v>
      </c>
      <c r="C61" s="94"/>
      <c r="D61" s="94"/>
      <c r="E61" s="94"/>
      <c r="F61" s="161"/>
      <c r="G61" s="103">
        <f t="shared" si="4"/>
        <v>0</v>
      </c>
      <c r="H61" s="114"/>
      <c r="I61" s="114"/>
      <c r="J61" s="114"/>
      <c r="K61" s="114"/>
      <c r="L61" s="85">
        <f t="shared" si="3"/>
        <v>0</v>
      </c>
      <c r="M61" s="226"/>
    </row>
    <row r="62" spans="1:13" s="21" customFormat="1" ht="15" customHeight="1">
      <c r="A62" s="136"/>
      <c r="B62" s="13" t="s">
        <v>18</v>
      </c>
      <c r="C62" s="14"/>
      <c r="D62" s="14"/>
      <c r="E62" s="14"/>
      <c r="F62" s="24"/>
      <c r="G62" s="105">
        <f t="shared" si="4"/>
        <v>0</v>
      </c>
      <c r="H62" s="99"/>
      <c r="I62" s="99"/>
      <c r="J62" s="99"/>
      <c r="K62" s="99"/>
      <c r="L62" s="86">
        <f t="shared" si="3"/>
        <v>0</v>
      </c>
      <c r="M62" s="226"/>
    </row>
    <row r="63" spans="1:13" s="8" customFormat="1" ht="15" customHeight="1">
      <c r="A63" s="133"/>
      <c r="B63" s="13" t="s">
        <v>19</v>
      </c>
      <c r="C63" s="14"/>
      <c r="D63" s="14"/>
      <c r="E63" s="14"/>
      <c r="F63" s="24"/>
      <c r="G63" s="105">
        <f t="shared" si="4"/>
        <v>0</v>
      </c>
      <c r="H63" s="99"/>
      <c r="I63" s="99"/>
      <c r="J63" s="99"/>
      <c r="K63" s="99"/>
      <c r="L63" s="86">
        <f t="shared" si="3"/>
        <v>0</v>
      </c>
      <c r="M63" s="226"/>
    </row>
    <row r="64" spans="1:13" s="8" customFormat="1" ht="15" customHeight="1">
      <c r="A64" s="133"/>
      <c r="B64" s="13" t="s">
        <v>20</v>
      </c>
      <c r="C64" s="14"/>
      <c r="D64" s="14"/>
      <c r="E64" s="14"/>
      <c r="F64" s="24"/>
      <c r="G64" s="105">
        <f t="shared" si="4"/>
        <v>117962</v>
      </c>
      <c r="H64" s="99">
        <f>SUM(H65:H70)</f>
        <v>48058</v>
      </c>
      <c r="I64" s="99">
        <f>SUM(I65:I70)</f>
        <v>17476</v>
      </c>
      <c r="J64" s="99">
        <f>SUM(J65:J70)</f>
        <v>0</v>
      </c>
      <c r="K64" s="99">
        <f>SUM(K65:K70)</f>
        <v>52428</v>
      </c>
      <c r="L64" s="86">
        <f t="shared" si="3"/>
        <v>22.76</v>
      </c>
      <c r="M64" s="226"/>
    </row>
    <row r="65" spans="1:13" s="8" customFormat="1" ht="15" customHeight="1">
      <c r="A65" s="133"/>
      <c r="B65" s="13" t="s">
        <v>21</v>
      </c>
      <c r="C65" s="14"/>
      <c r="D65" s="14"/>
      <c r="E65" s="14"/>
      <c r="F65" s="24"/>
      <c r="G65" s="116">
        <f t="shared" si="4"/>
        <v>3876</v>
      </c>
      <c r="H65" s="116"/>
      <c r="I65" s="116">
        <v>2476</v>
      </c>
      <c r="J65" s="116"/>
      <c r="K65" s="116">
        <v>1400</v>
      </c>
      <c r="L65" s="86">
        <f t="shared" si="3"/>
        <v>0.75</v>
      </c>
      <c r="M65" s="226"/>
    </row>
    <row r="66" spans="1:13" s="8" customFormat="1" ht="15" customHeight="1">
      <c r="A66" s="133"/>
      <c r="B66" s="13" t="s">
        <v>22</v>
      </c>
      <c r="C66" s="14"/>
      <c r="D66" s="14"/>
      <c r="E66" s="14"/>
      <c r="F66" s="24"/>
      <c r="G66" s="116">
        <f t="shared" si="4"/>
        <v>30000</v>
      </c>
      <c r="H66" s="116">
        <v>15000</v>
      </c>
      <c r="I66" s="116">
        <v>15000</v>
      </c>
      <c r="J66" s="116"/>
      <c r="K66" s="116"/>
      <c r="L66" s="86">
        <f t="shared" si="3"/>
        <v>5.79</v>
      </c>
      <c r="M66" s="226"/>
    </row>
    <row r="67" spans="1:21" s="8" customFormat="1" ht="15" customHeight="1">
      <c r="A67" s="138"/>
      <c r="B67" s="72" t="s">
        <v>68</v>
      </c>
      <c r="C67" s="73"/>
      <c r="D67" s="73"/>
      <c r="E67" s="73"/>
      <c r="F67" s="140"/>
      <c r="G67" s="139">
        <f t="shared" si="4"/>
        <v>77428</v>
      </c>
      <c r="H67" s="139">
        <v>30000</v>
      </c>
      <c r="I67" s="139"/>
      <c r="J67" s="139"/>
      <c r="K67" s="139">
        <v>47428</v>
      </c>
      <c r="L67" s="87">
        <f t="shared" si="3"/>
        <v>14.94</v>
      </c>
      <c r="M67" s="226"/>
      <c r="U67" s="1"/>
    </row>
    <row r="68" spans="2:13" s="8" customFormat="1" ht="15" customHeight="1">
      <c r="B68" s="22" t="s">
        <v>24</v>
      </c>
      <c r="C68" s="23"/>
      <c r="D68" s="23"/>
      <c r="E68" s="23"/>
      <c r="F68" s="125"/>
      <c r="G68" s="126">
        <f t="shared" si="4"/>
        <v>0</v>
      </c>
      <c r="H68" s="127"/>
      <c r="I68" s="126"/>
      <c r="J68" s="126"/>
      <c r="K68" s="126"/>
      <c r="L68" s="93">
        <f t="shared" si="3"/>
        <v>0</v>
      </c>
      <c r="M68" s="227"/>
    </row>
    <row r="69" spans="2:13" s="8" customFormat="1" ht="15" customHeight="1">
      <c r="B69" s="13" t="s">
        <v>25</v>
      </c>
      <c r="C69" s="14"/>
      <c r="D69" s="14"/>
      <c r="E69" s="14"/>
      <c r="F69" s="24"/>
      <c r="G69" s="116">
        <f t="shared" si="4"/>
        <v>4458</v>
      </c>
      <c r="H69" s="117">
        <v>3058</v>
      </c>
      <c r="I69" s="116"/>
      <c r="J69" s="116"/>
      <c r="K69" s="116">
        <v>1400</v>
      </c>
      <c r="L69" s="86">
        <f t="shared" si="3"/>
        <v>0.86</v>
      </c>
      <c r="M69" s="227"/>
    </row>
    <row r="70" spans="2:13" s="8" customFormat="1" ht="15" customHeight="1">
      <c r="B70" s="88" t="s">
        <v>26</v>
      </c>
      <c r="C70" s="89"/>
      <c r="D70" s="89"/>
      <c r="E70" s="89"/>
      <c r="F70" s="90"/>
      <c r="G70" s="116">
        <f t="shared" si="4"/>
        <v>2200</v>
      </c>
      <c r="H70" s="117"/>
      <c r="I70" s="116"/>
      <c r="J70" s="116"/>
      <c r="K70" s="116">
        <v>2200</v>
      </c>
      <c r="L70" s="86">
        <f t="shared" si="3"/>
        <v>0.42</v>
      </c>
      <c r="M70" s="227"/>
    </row>
    <row r="71" spans="2:13" s="10" customFormat="1" ht="15" customHeight="1">
      <c r="B71" s="72" t="s">
        <v>27</v>
      </c>
      <c r="C71" s="91"/>
      <c r="D71" s="91"/>
      <c r="E71" s="91"/>
      <c r="F71" s="92"/>
      <c r="G71" s="106">
        <f t="shared" si="4"/>
        <v>0</v>
      </c>
      <c r="H71" s="115"/>
      <c r="I71" s="100"/>
      <c r="J71" s="100"/>
      <c r="K71" s="100"/>
      <c r="L71" s="87">
        <f t="shared" si="3"/>
        <v>0</v>
      </c>
      <c r="M71" s="226"/>
    </row>
    <row r="72" spans="6:13" ht="16.5" customHeight="1">
      <c r="F72" s="2"/>
      <c r="G72" s="118"/>
      <c r="H72" s="118"/>
      <c r="I72" s="119"/>
      <c r="J72" s="118"/>
      <c r="K72" s="118"/>
      <c r="L72" s="74"/>
      <c r="M72" s="226">
        <f>M20+M27+M46+M54</f>
        <v>1</v>
      </c>
    </row>
    <row r="73" spans="6:11" ht="12.75" customHeight="1">
      <c r="F73" s="2"/>
      <c r="G73" s="118"/>
      <c r="H73" s="118"/>
      <c r="I73" s="118"/>
      <c r="J73" s="118"/>
      <c r="K73" s="118"/>
    </row>
    <row r="74" spans="2:11" ht="12.75" customHeight="1">
      <c r="B74" s="56" t="s">
        <v>46</v>
      </c>
      <c r="F74" s="2"/>
      <c r="G74" s="118" t="s">
        <v>78</v>
      </c>
      <c r="H74" s="118"/>
      <c r="I74" s="119"/>
      <c r="J74" s="118"/>
      <c r="K74" s="118"/>
    </row>
    <row r="75" spans="3:11" ht="12.75" customHeight="1">
      <c r="C75" s="56"/>
      <c r="F75" s="2"/>
      <c r="G75" s="118"/>
      <c r="H75" s="118"/>
      <c r="I75" s="119"/>
      <c r="J75" s="118"/>
      <c r="K75" s="118"/>
    </row>
    <row r="76" spans="2:11" ht="12.75" customHeight="1">
      <c r="B76" s="56" t="s">
        <v>69</v>
      </c>
      <c r="F76" s="2"/>
      <c r="G76" s="118" t="s">
        <v>84</v>
      </c>
      <c r="H76" s="118"/>
      <c r="I76" s="119"/>
      <c r="J76" s="118"/>
      <c r="K76" s="118"/>
    </row>
    <row r="77" spans="6:13" ht="12.75" customHeight="1">
      <c r="F77" s="2"/>
      <c r="G77" s="118"/>
      <c r="H77" s="118"/>
      <c r="I77" s="119"/>
      <c r="J77" s="118"/>
      <c r="K77" s="118"/>
      <c r="L77" s="82"/>
      <c r="M77" s="29"/>
    </row>
    <row r="78" spans="6:11" ht="12.75" customHeight="1">
      <c r="F78" s="2"/>
      <c r="G78" s="172"/>
      <c r="H78" s="171"/>
      <c r="I78" s="172"/>
      <c r="J78" s="171"/>
      <c r="K78" s="171"/>
    </row>
    <row r="79" spans="3:12" ht="12.75" customHeight="1">
      <c r="C79" s="177" t="s">
        <v>47</v>
      </c>
      <c r="F79" s="2"/>
      <c r="G79" s="178">
        <f>G18-(G20+G24+G55+G60+G51)</f>
        <v>0</v>
      </c>
      <c r="H79" s="178">
        <f>H18-(H20+H24+H55+H60+H51)</f>
        <v>0</v>
      </c>
      <c r="I79" s="178">
        <f>I18-(I20+I24+I55+I60+I51)</f>
        <v>0</v>
      </c>
      <c r="J79" s="178">
        <f>J18-(J20+J24+J55+J60+J51)</f>
        <v>0</v>
      </c>
      <c r="K79" s="178">
        <f>K18-(K20+K24+K55+K60+K51)</f>
        <v>0</v>
      </c>
      <c r="L79" s="120">
        <f>L18-(L20+L24+L55+L60)</f>
        <v>-0.01</v>
      </c>
    </row>
    <row r="80" spans="6:9" ht="12.75" customHeight="1">
      <c r="F80" s="2"/>
      <c r="G80" s="3"/>
      <c r="I80" s="3"/>
    </row>
    <row r="81" spans="6:9" ht="12.75" customHeight="1">
      <c r="F81" s="2"/>
      <c r="I81" s="3"/>
    </row>
    <row r="82" spans="6:9" ht="12.75" customHeight="1">
      <c r="F82" s="2"/>
      <c r="I82" s="3"/>
    </row>
    <row r="83" spans="6:9" ht="12.75" customHeight="1">
      <c r="F83" s="2"/>
      <c r="I83" s="3"/>
    </row>
    <row r="84" spans="6:9" ht="12.75" customHeight="1">
      <c r="F84" s="2"/>
      <c r="I84" s="3"/>
    </row>
    <row r="85" spans="6:9" ht="12.75" customHeight="1">
      <c r="F85" s="2"/>
      <c r="I85" s="3"/>
    </row>
    <row r="86" spans="6:9" ht="12.75" customHeight="1">
      <c r="F86" s="2"/>
      <c r="I86" s="3"/>
    </row>
    <row r="87" spans="6:9" ht="12.75" customHeight="1">
      <c r="F87" s="2"/>
      <c r="I87" s="3"/>
    </row>
  </sheetData>
  <sheetProtection/>
  <mergeCells count="2">
    <mergeCell ref="H16:J16"/>
    <mergeCell ref="B2:L2"/>
  </mergeCells>
  <printOptions/>
  <pageMargins left="0" right="0" top="0.2755905511811024" bottom="0.1968503937007874" header="0.2755905511811024" footer="0.1968503937007874"/>
  <pageSetup fitToHeight="1" fitToWidth="1" horizontalDpi="600" verticalDpi="600" orientation="portrait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"/>
  <sheetViews>
    <sheetView zoomScalePageLayoutView="0" workbookViewId="0" topLeftCell="A1">
      <selection activeCell="A1" sqref="A1:F60"/>
    </sheetView>
  </sheetViews>
  <sheetFormatPr defaultColWidth="9.00390625" defaultRowHeight="12.75"/>
  <cols>
    <col min="2" max="2" width="53.375" style="0" customWidth="1"/>
    <col min="3" max="3" width="12.00390625" style="0" customWidth="1"/>
    <col min="4" max="4" width="11.875" style="0" hidden="1" customWidth="1"/>
    <col min="7" max="7" width="10.25390625" style="0" customWidth="1"/>
  </cols>
  <sheetData>
    <row r="1" spans="1:256" s="32" customFormat="1" ht="9.75" customHeight="1">
      <c r="A1"/>
      <c r="B1"/>
      <c r="C1" s="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3" customFormat="1" ht="15" customHeight="1">
      <c r="A2"/>
      <c r="B2"/>
      <c r="C2" s="1" t="s">
        <v>89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33" customFormat="1" ht="16.5" customHeight="1">
      <c r="A3"/>
      <c r="B3"/>
      <c r="C3" s="1" t="s">
        <v>143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32" customFormat="1" ht="9" customHeight="1">
      <c r="A4"/>
      <c r="B4"/>
      <c r="C4" s="1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2" customFormat="1" ht="8.25" customHeight="1">
      <c r="A5"/>
      <c r="B5"/>
      <c r="C5" s="1"/>
      <c r="D5"/>
      <c r="E5"/>
      <c r="F5"/>
      <c r="G5"/>
      <c r="H5"/>
      <c r="I5" s="18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9" customFormat="1" ht="14.25" customHeight="1">
      <c r="A6"/>
      <c r="B6"/>
      <c r="C6" s="1" t="s">
        <v>144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2" customFormat="1" ht="15" customHeight="1">
      <c r="A7"/>
      <c r="B7"/>
      <c r="C7" s="184" t="s">
        <v>90</v>
      </c>
      <c r="D7" s="185"/>
      <c r="E7" s="185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2" customFormat="1" ht="9" customHeight="1">
      <c r="A8"/>
      <c r="B8"/>
      <c r="C8" s="1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2" customFormat="1" ht="7.5" customHeight="1">
      <c r="A9"/>
      <c r="B9"/>
      <c r="C9" s="1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2" customFormat="1" ht="15" customHeight="1">
      <c r="A10"/>
      <c r="B10" s="186" t="s">
        <v>91</v>
      </c>
      <c r="C10" s="1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2" customFormat="1" ht="17.25" customHeight="1">
      <c r="A11" s="185" t="s">
        <v>162</v>
      </c>
      <c r="B11"/>
      <c r="C11" s="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2" customFormat="1" ht="13.5" customHeight="1">
      <c r="A12"/>
      <c r="B12"/>
      <c r="C12" s="1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2" customFormat="1" ht="12.75" customHeight="1">
      <c r="A13" s="314" t="s">
        <v>92</v>
      </c>
      <c r="B13" s="315"/>
      <c r="C13" s="315"/>
      <c r="D13" s="315"/>
      <c r="E13" s="315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2" customFormat="1" ht="21" customHeight="1">
      <c r="A14"/>
      <c r="B14" s="316" t="s">
        <v>145</v>
      </c>
      <c r="C14" s="316"/>
      <c r="D14" s="316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2" customFormat="1" ht="18" customHeight="1">
      <c r="A15" s="187" t="s">
        <v>93</v>
      </c>
      <c r="B15" s="187" t="s">
        <v>94</v>
      </c>
      <c r="C15" s="188" t="s">
        <v>95</v>
      </c>
      <c r="D15" s="189" t="s">
        <v>96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2" customFormat="1" ht="18" customHeight="1">
      <c r="A16" s="190">
        <v>1</v>
      </c>
      <c r="B16" s="191" t="s">
        <v>97</v>
      </c>
      <c r="C16" s="192">
        <f>SUM(C17:C25)</f>
        <v>345939</v>
      </c>
      <c r="D16" s="193">
        <f>SUM(D17:D25)</f>
        <v>26.21</v>
      </c>
      <c r="E16"/>
      <c r="F16" s="194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2" customFormat="1" ht="21" customHeight="1">
      <c r="A17" s="195" t="s">
        <v>98</v>
      </c>
      <c r="B17" s="196" t="s">
        <v>99</v>
      </c>
      <c r="C17" s="197">
        <f>((600*2*8)+(600*1*8)+(600*1*8)+4500)*6.75*1.3</f>
        <v>207968</v>
      </c>
      <c r="D17" s="198">
        <f>C17/(110*4*30)</f>
        <v>15.755</v>
      </c>
      <c r="E17" s="199"/>
      <c r="F17" s="19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45" customFormat="1" ht="21" customHeight="1">
      <c r="A18" s="195" t="s">
        <v>100</v>
      </c>
      <c r="B18" s="196" t="s">
        <v>101</v>
      </c>
      <c r="C18" s="200">
        <f>C17*30.2%</f>
        <v>62806</v>
      </c>
      <c r="D18" s="198">
        <f aca="true" t="shared" si="0" ref="D18:D25">C18/(110*4*30)</f>
        <v>4.758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2" customFormat="1" ht="21.75" customHeight="1">
      <c r="A19" s="195" t="s">
        <v>102</v>
      </c>
      <c r="B19" s="196" t="s">
        <v>103</v>
      </c>
      <c r="C19" s="197">
        <f>(C17*16.6856%)*1.302-15</f>
        <v>45165</v>
      </c>
      <c r="D19" s="198">
        <f t="shared" si="0"/>
        <v>3.422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2" customFormat="1" ht="19.5" customHeight="1" hidden="1">
      <c r="A20" s="195" t="s">
        <v>104</v>
      </c>
      <c r="B20" s="196" t="s">
        <v>105</v>
      </c>
      <c r="C20" s="200"/>
      <c r="D20" s="198">
        <f t="shared" si="0"/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2" customFormat="1" ht="17.25" customHeight="1" hidden="1">
      <c r="A21" s="195" t="s">
        <v>106</v>
      </c>
      <c r="B21" s="196" t="s">
        <v>107</v>
      </c>
      <c r="C21" s="200"/>
      <c r="D21" s="198">
        <f t="shared" si="0"/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2" customFormat="1" ht="17.25" customHeight="1">
      <c r="A22" s="195" t="s">
        <v>104</v>
      </c>
      <c r="B22" s="196" t="s">
        <v>108</v>
      </c>
      <c r="C22" s="200">
        <f>'Расчет (предшк.подготовка)'!G66</f>
        <v>30000</v>
      </c>
      <c r="D22" s="198">
        <f t="shared" si="0"/>
        <v>2.273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2" customFormat="1" ht="17.25" customHeight="1" hidden="1">
      <c r="A23" s="195" t="s">
        <v>166</v>
      </c>
      <c r="B23" s="196" t="s">
        <v>109</v>
      </c>
      <c r="C23" s="201"/>
      <c r="D23" s="198">
        <f t="shared" si="0"/>
        <v>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5" customFormat="1" ht="15.75" hidden="1">
      <c r="A24" s="195" t="s">
        <v>167</v>
      </c>
      <c r="B24" s="196" t="s">
        <v>110</v>
      </c>
      <c r="C24" s="201"/>
      <c r="D24" s="198">
        <f t="shared" si="0"/>
        <v>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6" customFormat="1" ht="17.25" customHeight="1" hidden="1">
      <c r="A25" s="195"/>
      <c r="B25" s="196"/>
      <c r="C25" s="202"/>
      <c r="D25" s="198">
        <f t="shared" si="0"/>
        <v>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6" customFormat="1" ht="17.25" customHeight="1" hidden="1">
      <c r="A26" s="203"/>
      <c r="B26" s="196"/>
      <c r="C26" s="202"/>
      <c r="D26" s="204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6" customFormat="1" ht="18" customHeight="1">
      <c r="A27" s="190">
        <v>2</v>
      </c>
      <c r="B27" s="191" t="s">
        <v>111</v>
      </c>
      <c r="C27" s="192">
        <f>SUM(C39:C47)</f>
        <v>172461</v>
      </c>
      <c r="D27" s="193" t="e">
        <f>D28+D39+D42+#REF!+D44+D45</f>
        <v>#REF!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8" customFormat="1" ht="26.25" hidden="1">
      <c r="A28" s="195" t="s">
        <v>112</v>
      </c>
      <c r="B28" s="205" t="s">
        <v>113</v>
      </c>
      <c r="C28" s="201"/>
      <c r="D28" s="204">
        <f>D29+D38</f>
        <v>0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0" customFormat="1" ht="18.75" customHeight="1" hidden="1">
      <c r="A29" s="206" t="s">
        <v>114</v>
      </c>
      <c r="B29" s="207" t="s">
        <v>99</v>
      </c>
      <c r="C29" s="201"/>
      <c r="D29" s="204">
        <f>SUM(D30:D37)</f>
        <v>0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0" customFormat="1" ht="18.75" customHeight="1" hidden="1">
      <c r="A30" s="206"/>
      <c r="B30" s="207" t="s">
        <v>115</v>
      </c>
      <c r="C30" s="201"/>
      <c r="D30" s="198">
        <f aca="true" t="shared" si="1" ref="D30:D47">C30/(110*4*30)</f>
        <v>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8" customFormat="1" ht="15" hidden="1">
      <c r="A31" s="206"/>
      <c r="B31" s="207" t="s">
        <v>116</v>
      </c>
      <c r="C31" s="201"/>
      <c r="D31" s="198">
        <f t="shared" si="1"/>
        <v>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0" customFormat="1" ht="18.75" customHeight="1" hidden="1">
      <c r="A32" s="206"/>
      <c r="B32" s="207" t="s">
        <v>117</v>
      </c>
      <c r="C32" s="201"/>
      <c r="D32" s="198">
        <f t="shared" si="1"/>
        <v>0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0" customFormat="1" ht="18.75" customHeight="1" hidden="1">
      <c r="A33" s="206"/>
      <c r="B33" s="207" t="s">
        <v>118</v>
      </c>
      <c r="C33" s="201"/>
      <c r="D33" s="198">
        <f t="shared" si="1"/>
        <v>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0" customFormat="1" ht="18.75" customHeight="1" hidden="1">
      <c r="A34" s="206"/>
      <c r="B34" s="207" t="s">
        <v>119</v>
      </c>
      <c r="C34" s="201"/>
      <c r="D34" s="198">
        <f t="shared" si="1"/>
        <v>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8" customFormat="1" ht="15" hidden="1">
      <c r="A35" s="206"/>
      <c r="B35" s="207" t="s">
        <v>120</v>
      </c>
      <c r="C35" s="201"/>
      <c r="D35" s="198">
        <f t="shared" si="1"/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0" customFormat="1" ht="18.75" customHeight="1" hidden="1">
      <c r="A36" s="206"/>
      <c r="B36" s="207" t="s">
        <v>121</v>
      </c>
      <c r="C36" s="201"/>
      <c r="D36" s="198">
        <f t="shared" si="1"/>
        <v>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0" customFormat="1" ht="18.75" customHeight="1" hidden="1">
      <c r="A37" s="206"/>
      <c r="B37" s="207" t="s">
        <v>122</v>
      </c>
      <c r="C37" s="201"/>
      <c r="D37" s="198">
        <f t="shared" si="1"/>
        <v>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8" customFormat="1" ht="18.75" customHeight="1" hidden="1">
      <c r="A38" s="206" t="s">
        <v>123</v>
      </c>
      <c r="B38" s="207" t="s">
        <v>101</v>
      </c>
      <c r="C38" s="201">
        <f>C29*23.1%</f>
        <v>0</v>
      </c>
      <c r="D38" s="198">
        <f t="shared" si="1"/>
        <v>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6" customFormat="1" ht="18.75" customHeight="1">
      <c r="A39" s="195" t="s">
        <v>112</v>
      </c>
      <c r="B39" s="196" t="s">
        <v>124</v>
      </c>
      <c r="C39" s="201">
        <f>'Расчет (предшк.подготовка)'!G27</f>
        <v>51840</v>
      </c>
      <c r="D39" s="198">
        <f t="shared" si="1"/>
        <v>3.927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6" customFormat="1" ht="20.25" customHeight="1" hidden="1">
      <c r="A40" s="195" t="s">
        <v>125</v>
      </c>
      <c r="B40" s="196" t="s">
        <v>126</v>
      </c>
      <c r="C40" s="201"/>
      <c r="D40" s="198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6" customFormat="1" ht="21" customHeight="1" hidden="1">
      <c r="A41" s="195" t="s">
        <v>127</v>
      </c>
      <c r="B41" s="196" t="s">
        <v>128</v>
      </c>
      <c r="C41" s="201"/>
      <c r="D41" s="198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1" customFormat="1" ht="15" customHeight="1">
      <c r="A42" s="195" t="s">
        <v>129</v>
      </c>
      <c r="B42" s="196" t="s">
        <v>168</v>
      </c>
      <c r="C42" s="201">
        <f>'Расчет (предшк.подготовка)'!G67</f>
        <v>77428</v>
      </c>
      <c r="D42" s="198">
        <f t="shared" si="1"/>
        <v>5.866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0" customFormat="1" ht="15" customHeight="1" hidden="1">
      <c r="A43" s="195" t="s">
        <v>130</v>
      </c>
      <c r="B43" s="196" t="s">
        <v>131</v>
      </c>
      <c r="C43" s="201"/>
      <c r="D43" s="198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8" customFormat="1" ht="15" customHeight="1">
      <c r="A44" s="195" t="s">
        <v>132</v>
      </c>
      <c r="B44" s="196" t="s">
        <v>169</v>
      </c>
      <c r="C44" s="201">
        <f>3876+4458+2200</f>
        <v>10534</v>
      </c>
      <c r="D44" s="198">
        <f t="shared" si="1"/>
        <v>0.798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0" customFormat="1" ht="15" customHeight="1">
      <c r="A45" s="195" t="s">
        <v>133</v>
      </c>
      <c r="B45" s="196" t="s">
        <v>134</v>
      </c>
      <c r="C45" s="201">
        <f>'Расчет (предшк.подготовка)'!G49</f>
        <v>6739</v>
      </c>
      <c r="D45" s="204">
        <f t="shared" si="1"/>
        <v>0.51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6" customFormat="1" ht="15.75" customHeight="1" hidden="1">
      <c r="A46" s="195" t="s">
        <v>130</v>
      </c>
      <c r="B46" s="196" t="s">
        <v>135</v>
      </c>
      <c r="C46" s="201"/>
      <c r="D46" s="204">
        <f t="shared" si="1"/>
        <v>0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8" customFormat="1" ht="15" customHeight="1">
      <c r="A47" s="195" t="s">
        <v>136</v>
      </c>
      <c r="B47" s="196" t="s">
        <v>137</v>
      </c>
      <c r="C47" s="201">
        <f>'Расчет (предшк.подготовка)'!G47</f>
        <v>25920</v>
      </c>
      <c r="D47" s="204">
        <f t="shared" si="1"/>
        <v>1.96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8" customFormat="1" ht="15" customHeight="1">
      <c r="A48" s="190">
        <v>3</v>
      </c>
      <c r="B48" s="208" t="s">
        <v>138</v>
      </c>
      <c r="C48" s="192">
        <f>C16+C27</f>
        <v>518400</v>
      </c>
      <c r="D48" s="193" t="e">
        <f>D16+D27</f>
        <v>#REF!</v>
      </c>
      <c r="E48" s="308">
        <f>C48-'Расчет (предшк.подготовка)'!G18</f>
        <v>0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8" customFormat="1" ht="15" customHeight="1">
      <c r="A49" s="203"/>
      <c r="B49" s="196"/>
      <c r="C49" s="202"/>
      <c r="D49" s="204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0" customFormat="1" ht="15" customHeight="1">
      <c r="A50" s="203">
        <v>4</v>
      </c>
      <c r="B50" s="196" t="s">
        <v>139</v>
      </c>
      <c r="C50" s="201">
        <f>'Расчет (предшк.подготовка)'!E8</f>
        <v>48</v>
      </c>
      <c r="D50" s="204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5" customFormat="1" ht="15" customHeight="1">
      <c r="A51" s="203"/>
      <c r="B51" s="196"/>
      <c r="C51" s="202"/>
      <c r="D51" s="204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5" customFormat="1" ht="15" customHeight="1">
      <c r="A52" s="203">
        <v>5</v>
      </c>
      <c r="B52" s="196" t="s">
        <v>140</v>
      </c>
      <c r="C52" s="201">
        <f>'Расчет (предшк.подготовка)'!E11*'Расчет (предшк.подготовка)'!E9</f>
        <v>108</v>
      </c>
      <c r="D52" s="204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5" customFormat="1" ht="15" customHeight="1">
      <c r="A53" s="203"/>
      <c r="B53" s="196"/>
      <c r="C53" s="202"/>
      <c r="D53" s="204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5" customFormat="1" ht="15" customHeight="1">
      <c r="A54" s="190">
        <v>6</v>
      </c>
      <c r="B54" s="208" t="s">
        <v>141</v>
      </c>
      <c r="C54" s="209">
        <f>C48/C50/C52</f>
        <v>100</v>
      </c>
      <c r="D54" s="193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28" customFormat="1" ht="18.75" customHeight="1">
      <c r="A55"/>
      <c r="B55"/>
      <c r="C55" s="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21" customFormat="1" ht="15" customHeight="1">
      <c r="A56"/>
      <c r="B56"/>
      <c r="C56" s="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21" customFormat="1" ht="15" customHeight="1">
      <c r="A57" t="s">
        <v>142</v>
      </c>
      <c r="B57"/>
      <c r="C57" s="1" t="s">
        <v>84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8" customFormat="1" ht="15" customHeight="1">
      <c r="A58"/>
      <c r="B58"/>
      <c r="C58" s="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8" customFormat="1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6" customFormat="1" ht="15" customHeight="1">
      <c r="A60"/>
      <c r="B60"/>
      <c r="C60" s="229"/>
      <c r="D60"/>
      <c r="E60" s="229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1" customFormat="1" ht="1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21" customFormat="1" ht="1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8" customFormat="1" ht="1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8" customFormat="1" ht="1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8" customFormat="1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8" customFormat="1" ht="1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8" customFormat="1" ht="1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8" customFormat="1" ht="1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8" customFormat="1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8" customFormat="1" ht="1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0" customFormat="1" ht="1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</sheetData>
  <sheetProtection/>
  <mergeCells count="2">
    <mergeCell ref="A13:E13"/>
    <mergeCell ref="B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F20"/>
  <sheetViews>
    <sheetView zoomScalePageLayoutView="0" workbookViewId="0" topLeftCell="A18">
      <selection activeCell="A1" sqref="A1:E26"/>
    </sheetView>
  </sheetViews>
  <sheetFormatPr defaultColWidth="9.00390625" defaultRowHeight="12.75"/>
  <cols>
    <col min="3" max="3" width="42.375" style="0" customWidth="1"/>
    <col min="4" max="4" width="16.00390625" style="0" customWidth="1"/>
    <col min="5" max="5" width="9.625" style="0" bestFit="1" customWidth="1"/>
  </cols>
  <sheetData>
    <row r="1" ht="12.75">
      <c r="D1" s="1"/>
    </row>
    <row r="2" spans="2:4" ht="14.25">
      <c r="B2" s="317" t="s">
        <v>146</v>
      </c>
      <c r="C2" s="317"/>
      <c r="D2" s="317"/>
    </row>
    <row r="3" spans="2:4" ht="14.25">
      <c r="B3" s="317" t="s">
        <v>145</v>
      </c>
      <c r="C3" s="317"/>
      <c r="D3" s="317"/>
    </row>
    <row r="4" spans="3:4" ht="12.75">
      <c r="C4" s="210"/>
      <c r="D4" s="1"/>
    </row>
    <row r="5" spans="2:4" ht="12.75">
      <c r="B5" s="318" t="s">
        <v>147</v>
      </c>
      <c r="C5" s="318"/>
      <c r="D5" s="318"/>
    </row>
    <row r="6" spans="2:4" ht="15.75">
      <c r="B6" s="211"/>
      <c r="C6" s="212" t="s">
        <v>81</v>
      </c>
      <c r="D6" s="213"/>
    </row>
    <row r="7" spans="3:4" ht="12.75">
      <c r="C7" s="214"/>
      <c r="D7" s="215"/>
    </row>
    <row r="8" spans="2:4" ht="12.75">
      <c r="B8" s="189" t="s">
        <v>148</v>
      </c>
      <c r="C8" s="187" t="s">
        <v>149</v>
      </c>
      <c r="D8" s="188" t="s">
        <v>150</v>
      </c>
    </row>
    <row r="9" spans="2:6" ht="19.5" customHeight="1">
      <c r="B9" s="216">
        <v>1</v>
      </c>
      <c r="C9" s="217" t="s">
        <v>151</v>
      </c>
      <c r="D9" s="220">
        <f>((900*2*8)+(900*1*8)+(900*1*8)+2500)/29.3*33</f>
        <v>35252.56</v>
      </c>
      <c r="F9" s="194"/>
    </row>
    <row r="10" spans="2:4" ht="25.5">
      <c r="B10" s="216">
        <v>2</v>
      </c>
      <c r="C10" s="219" t="s">
        <v>152</v>
      </c>
      <c r="D10" s="220">
        <f>D9*30.2%</f>
        <v>10646.27</v>
      </c>
    </row>
    <row r="11" spans="2:4" ht="24" customHeight="1">
      <c r="B11" s="216">
        <v>3</v>
      </c>
      <c r="C11" s="219" t="s">
        <v>153</v>
      </c>
      <c r="D11" s="220"/>
    </row>
    <row r="12" spans="2:4" ht="44.25" customHeight="1">
      <c r="B12" s="216">
        <v>4</v>
      </c>
      <c r="C12" s="219" t="s">
        <v>154</v>
      </c>
      <c r="D12" s="220">
        <f>D9+D10-D11</f>
        <v>45898.83</v>
      </c>
    </row>
    <row r="13" spans="2:4" ht="36" customHeight="1">
      <c r="B13" s="216">
        <v>5</v>
      </c>
      <c r="C13" s="219" t="s">
        <v>155</v>
      </c>
      <c r="D13" s="221">
        <f>((900*2*8)+(900*1*8)+(900*1*8)+2500)*6.75</f>
        <v>211275</v>
      </c>
    </row>
    <row r="14" spans="2:6" ht="39.75" customHeight="1">
      <c r="B14" s="216">
        <v>6</v>
      </c>
      <c r="C14" s="219" t="s">
        <v>156</v>
      </c>
      <c r="D14" s="220">
        <f>D13*30.2%</f>
        <v>63805.05</v>
      </c>
      <c r="E14" s="194"/>
      <c r="F14" s="194"/>
    </row>
    <row r="15" spans="2:4" ht="53.25" customHeight="1">
      <c r="B15" s="216">
        <v>7</v>
      </c>
      <c r="C15" s="219" t="s">
        <v>157</v>
      </c>
      <c r="D15" s="220">
        <f>D13+D14</f>
        <v>275080.05</v>
      </c>
    </row>
    <row r="16" spans="2:4" ht="39.75" customHeight="1">
      <c r="B16" s="216">
        <v>8</v>
      </c>
      <c r="C16" s="219" t="s">
        <v>158</v>
      </c>
      <c r="D16" s="222">
        <f>D12/D15</f>
        <v>0.166856</v>
      </c>
    </row>
    <row r="17" spans="2:4" ht="54" customHeight="1">
      <c r="B17" s="216">
        <v>9</v>
      </c>
      <c r="C17" s="219" t="s">
        <v>159</v>
      </c>
      <c r="D17" s="223" t="s">
        <v>160</v>
      </c>
    </row>
    <row r="18" ht="12.75">
      <c r="D18" s="1"/>
    </row>
    <row r="19" ht="12.75">
      <c r="D19" s="1"/>
    </row>
    <row r="20" spans="2:4" ht="12.75">
      <c r="B20" t="s">
        <v>142</v>
      </c>
      <c r="D20" s="1" t="s">
        <v>161</v>
      </c>
    </row>
  </sheetData>
  <sheetProtection/>
  <mergeCells count="3">
    <mergeCell ref="B2:D2"/>
    <mergeCell ref="B3:D3"/>
    <mergeCell ref="B5:D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V87"/>
  <sheetViews>
    <sheetView tabSelected="1" zoomScale="75" zoomScaleNormal="75" zoomScalePageLayoutView="0" workbookViewId="0" topLeftCell="A16">
      <selection activeCell="B1" sqref="B1:L77"/>
    </sheetView>
  </sheetViews>
  <sheetFormatPr defaultColWidth="9.00390625" defaultRowHeight="12.75"/>
  <cols>
    <col min="1" max="1" width="0.74609375" style="1" customWidth="1"/>
    <col min="2" max="2" width="10.375" style="1" customWidth="1"/>
    <col min="3" max="3" width="11.00390625" style="1" customWidth="1"/>
    <col min="4" max="4" width="14.875" style="1" customWidth="1"/>
    <col min="5" max="5" width="11.375" style="1" customWidth="1"/>
    <col min="6" max="6" width="18.375" style="1" customWidth="1"/>
    <col min="7" max="7" width="17.00390625" style="1" customWidth="1"/>
    <col min="8" max="8" width="13.625" style="1" customWidth="1"/>
    <col min="9" max="9" width="14.625" style="1" customWidth="1"/>
    <col min="10" max="10" width="12.875" style="1" customWidth="1"/>
    <col min="11" max="11" width="14.75390625" style="1" customWidth="1"/>
    <col min="12" max="12" width="11.375" style="1" hidden="1" customWidth="1"/>
    <col min="13" max="13" width="12.125" style="1" customWidth="1"/>
    <col min="14" max="14" width="11.25390625" style="1" customWidth="1"/>
    <col min="15" max="15" width="12.375" style="1" customWidth="1"/>
    <col min="16" max="16" width="11.75390625" style="1" customWidth="1"/>
    <col min="17" max="17" width="12.75390625" style="1" customWidth="1"/>
    <col min="18" max="18" width="11.875" style="1" customWidth="1"/>
    <col min="19" max="19" width="14.75390625" style="1" hidden="1" customWidth="1"/>
    <col min="20" max="20" width="13.875" style="1" customWidth="1"/>
    <col min="21" max="16384" width="9.125" style="1" customWidth="1"/>
  </cols>
  <sheetData>
    <row r="1" s="32" customFormat="1" ht="12.75" customHeight="1"/>
    <row r="2" spans="2:21" s="33" customFormat="1" ht="16.5" customHeight="1">
      <c r="B2" s="312" t="s">
        <v>86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4"/>
      <c r="N2" s="34"/>
      <c r="O2" s="34"/>
      <c r="P2" s="34"/>
      <c r="Q2" s="34"/>
      <c r="R2" s="34"/>
      <c r="S2" s="34"/>
      <c r="T2" s="34"/>
      <c r="U2" s="34"/>
    </row>
    <row r="3" spans="2:21" s="33" customFormat="1" ht="16.5" customHeight="1">
      <c r="B3" s="34"/>
      <c r="C3" s="36"/>
      <c r="D3" s="35" t="s">
        <v>87</v>
      </c>
      <c r="E3" s="37"/>
      <c r="F3" s="37"/>
      <c r="G3" s="37"/>
      <c r="H3" s="37"/>
      <c r="I3" s="38"/>
      <c r="J3" s="38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10" s="32" customFormat="1" ht="16.5" customHeight="1">
      <c r="B4" s="32" t="s">
        <v>28</v>
      </c>
      <c r="D4" s="40" t="s">
        <v>79</v>
      </c>
      <c r="G4" s="41"/>
      <c r="I4" s="4"/>
      <c r="J4" s="4"/>
    </row>
    <row r="5" s="32" customFormat="1" ht="12.75" customHeight="1"/>
    <row r="6" spans="2:13" s="39" customFormat="1" ht="18" customHeight="1">
      <c r="B6" s="35"/>
      <c r="D6" s="39" t="s">
        <v>170</v>
      </c>
      <c r="M6" s="32"/>
    </row>
    <row r="7" s="32" customFormat="1" ht="14.25" customHeight="1"/>
    <row r="8" spans="2:6" s="32" customFormat="1" ht="18" customHeight="1">
      <c r="B8" s="32" t="s">
        <v>53</v>
      </c>
      <c r="E8" s="121">
        <v>260</v>
      </c>
      <c r="F8" s="62"/>
    </row>
    <row r="9" spans="2:6" s="32" customFormat="1" ht="18" customHeight="1">
      <c r="B9" s="32" t="s">
        <v>61</v>
      </c>
      <c r="E9" s="167">
        <v>1</v>
      </c>
      <c r="F9" s="62"/>
    </row>
    <row r="10" spans="2:6" s="32" customFormat="1" ht="18" customHeight="1">
      <c r="B10" s="32" t="s">
        <v>54</v>
      </c>
      <c r="E10" s="167">
        <v>25</v>
      </c>
      <c r="F10" s="62"/>
    </row>
    <row r="11" spans="2:6" s="32" customFormat="1" ht="18" customHeight="1">
      <c r="B11" s="32" t="s">
        <v>62</v>
      </c>
      <c r="E11" s="121">
        <f>+G12*4</f>
        <v>27</v>
      </c>
      <c r="F11" s="62"/>
    </row>
    <row r="12" spans="2:11" s="32" customFormat="1" ht="18" customHeight="1">
      <c r="B12" s="32" t="s">
        <v>55</v>
      </c>
      <c r="E12" s="121">
        <f>E11*E9*E10</f>
        <v>675</v>
      </c>
      <c r="F12" s="81" t="s">
        <v>70</v>
      </c>
      <c r="G12" s="42">
        <f>H12+I12+K12</f>
        <v>6.75</v>
      </c>
      <c r="H12" s="42">
        <f>11/4</f>
        <v>2.75</v>
      </c>
      <c r="I12" s="42">
        <f>4/4</f>
        <v>1</v>
      </c>
      <c r="J12" s="42"/>
      <c r="K12" s="42">
        <f>12/4</f>
        <v>3</v>
      </c>
    </row>
    <row r="13" spans="2:6" s="32" customFormat="1" ht="18" customHeight="1">
      <c r="B13" s="32" t="s">
        <v>56</v>
      </c>
      <c r="E13" s="181">
        <v>125</v>
      </c>
      <c r="F13" s="32" t="s">
        <v>23</v>
      </c>
    </row>
    <row r="14" spans="2:5" s="32" customFormat="1" ht="21" customHeight="1">
      <c r="B14" s="32" t="s">
        <v>63</v>
      </c>
      <c r="E14" s="121">
        <f>E9*E11*E13</f>
        <v>3375</v>
      </c>
    </row>
    <row r="15" spans="1:12" s="32" customFormat="1" ht="18" customHeight="1">
      <c r="A15" s="4"/>
      <c r="B15" s="4" t="s">
        <v>64</v>
      </c>
      <c r="C15" s="63"/>
      <c r="D15" s="63"/>
      <c r="E15" s="122">
        <f>E14*E8</f>
        <v>877500</v>
      </c>
      <c r="F15" s="63"/>
      <c r="L15" s="32" t="s">
        <v>0</v>
      </c>
    </row>
    <row r="16" spans="1:12" s="32" customFormat="1" ht="18" customHeight="1">
      <c r="A16" s="44"/>
      <c r="B16" s="64" t="s">
        <v>30</v>
      </c>
      <c r="C16" s="65"/>
      <c r="D16" s="65"/>
      <c r="E16" s="65"/>
      <c r="F16" s="162"/>
      <c r="G16" s="44"/>
      <c r="H16" s="309" t="s">
        <v>88</v>
      </c>
      <c r="I16" s="310"/>
      <c r="J16" s="311"/>
      <c r="K16" s="168" t="s">
        <v>85</v>
      </c>
      <c r="L16" s="165" t="s">
        <v>51</v>
      </c>
    </row>
    <row r="17" spans="1:12" s="32" customFormat="1" ht="18" customHeight="1">
      <c r="A17" s="43"/>
      <c r="B17" s="9"/>
      <c r="C17" s="66" t="s">
        <v>57</v>
      </c>
      <c r="D17" s="4"/>
      <c r="E17" s="4"/>
      <c r="F17" s="152"/>
      <c r="G17" s="43"/>
      <c r="H17" s="42" t="s">
        <v>31</v>
      </c>
      <c r="I17" s="42" t="s">
        <v>32</v>
      </c>
      <c r="J17" s="42" t="s">
        <v>33</v>
      </c>
      <c r="K17" s="42" t="s">
        <v>34</v>
      </c>
      <c r="L17" s="61" t="s">
        <v>52</v>
      </c>
    </row>
    <row r="18" spans="1:12" s="45" customFormat="1" ht="30" customHeight="1">
      <c r="A18" s="128"/>
      <c r="B18" s="48"/>
      <c r="C18" s="47"/>
      <c r="D18" s="47"/>
      <c r="E18" s="47"/>
      <c r="F18" s="163"/>
      <c r="G18" s="95">
        <f>E15</f>
        <v>877500</v>
      </c>
      <c r="H18" s="96">
        <f>E15/G12*H12</f>
        <v>357500</v>
      </c>
      <c r="I18" s="96">
        <f>E15/G12*I12</f>
        <v>130000</v>
      </c>
      <c r="J18" s="96">
        <f>F15/4*J12</f>
        <v>0</v>
      </c>
      <c r="K18" s="96">
        <f>E15/G12*K12</f>
        <v>390000</v>
      </c>
      <c r="L18" s="60">
        <f>E13</f>
        <v>125</v>
      </c>
    </row>
    <row r="19" spans="1:13" s="32" customFormat="1" ht="24.75" customHeight="1">
      <c r="A19" s="43"/>
      <c r="B19" s="128" t="s">
        <v>74</v>
      </c>
      <c r="C19" s="43"/>
      <c r="D19" s="43"/>
      <c r="E19" s="43"/>
      <c r="F19" s="43"/>
      <c r="G19" s="129"/>
      <c r="H19" s="129"/>
      <c r="I19" s="129"/>
      <c r="J19" s="129"/>
      <c r="K19" s="129"/>
      <c r="L19" s="42"/>
      <c r="M19" s="45"/>
    </row>
    <row r="20" spans="1:17" s="32" customFormat="1" ht="19.5" customHeight="1">
      <c r="A20" s="43"/>
      <c r="B20" s="67"/>
      <c r="C20" s="68"/>
      <c r="D20" s="68"/>
      <c r="E20" s="68"/>
      <c r="F20" s="69"/>
      <c r="G20" s="97">
        <f aca="true" t="shared" si="0" ref="G20:G31">SUM(H20:K20)</f>
        <v>487905</v>
      </c>
      <c r="H20" s="97">
        <f>H21+H23</f>
        <v>198776</v>
      </c>
      <c r="I20" s="97">
        <f>I21+I23</f>
        <v>72282</v>
      </c>
      <c r="J20" s="97"/>
      <c r="K20" s="97">
        <f>K21+K23</f>
        <v>216847</v>
      </c>
      <c r="L20" s="80">
        <f aca="true" t="shared" si="1" ref="L20:L71">(G20/8*$L$18)/($G$18/8)</f>
        <v>69.5</v>
      </c>
      <c r="M20" s="78">
        <f>G20/G18</f>
        <v>0.56</v>
      </c>
      <c r="O20" s="121">
        <f>G18-G20</f>
        <v>389595</v>
      </c>
      <c r="P20" s="32">
        <f>O20/G18</f>
        <v>0.443982905982906</v>
      </c>
      <c r="Q20" s="182">
        <f>M20*P20*100</f>
        <v>24.86</v>
      </c>
    </row>
    <row r="21" spans="1:13" s="32" customFormat="1" ht="17.25" customHeight="1">
      <c r="A21" s="43" t="s">
        <v>35</v>
      </c>
      <c r="B21" s="70" t="s">
        <v>36</v>
      </c>
      <c r="C21" s="14"/>
      <c r="D21" s="14"/>
      <c r="E21" s="14"/>
      <c r="F21" s="24"/>
      <c r="G21" s="98">
        <f t="shared" si="0"/>
        <v>374735</v>
      </c>
      <c r="H21" s="98">
        <f>(((33000*0.2)+(1000*1*10)+(1000*1*3)+(1000*1*2)+(1000*1*2)+(1000*1*1)+(1000*1*1)+(1000*1*1)+(1000*1*1)+(1000*1*1)+(1000*1*2)+(1000*1*1)+(5000))*2.75*1.3)*1.1668</f>
        <v>152670</v>
      </c>
      <c r="I21" s="98">
        <f>(((33000*0.2*1)+(1000*10*1)+(1000*3*1)+(1000*2*1)+(1000*2*1)+(1000*1*1)+(1000*1*1)+(1000*1*1)+(1000*1*1)+(1000*1*1)+(1000*2*1)+(1000*1*1)+(5000*1))*1*1.3)*1.1668</f>
        <v>55516</v>
      </c>
      <c r="J21" s="98">
        <f>J20/1.342</f>
        <v>0</v>
      </c>
      <c r="K21" s="98">
        <f>(((33000*0.2)+(1000*1*10)+(1000*1*3)+(1000*1*2)+(1000*1*2)+(1000*1*1)+(1000*1*1)+(1000*1*1)+(1000*1*1)+(1000*1*1)+(1000*1*2)+(1000*1*1)+(5000))*3*1.3)*1.1668</f>
        <v>166549</v>
      </c>
      <c r="L21" s="85">
        <f t="shared" si="1"/>
        <v>53.38</v>
      </c>
      <c r="M21" s="78"/>
    </row>
    <row r="22" spans="1:13" s="32" customFormat="1" ht="17.25" customHeight="1">
      <c r="A22" s="130" t="s">
        <v>29</v>
      </c>
      <c r="B22" s="70" t="s">
        <v>37</v>
      </c>
      <c r="C22" s="14"/>
      <c r="D22" s="14"/>
      <c r="E22" s="14"/>
      <c r="F22" s="24"/>
      <c r="G22" s="99">
        <f t="shared" si="0"/>
        <v>0</v>
      </c>
      <c r="H22" s="99"/>
      <c r="I22" s="99"/>
      <c r="J22" s="99"/>
      <c r="K22" s="99"/>
      <c r="L22" s="86">
        <f t="shared" si="1"/>
        <v>0</v>
      </c>
      <c r="M22" s="45"/>
    </row>
    <row r="23" spans="1:13" s="32" customFormat="1" ht="17.25" customHeight="1">
      <c r="A23" s="130" t="s">
        <v>29</v>
      </c>
      <c r="B23" s="71" t="s">
        <v>38</v>
      </c>
      <c r="C23" s="73"/>
      <c r="D23" s="73"/>
      <c r="E23" s="73"/>
      <c r="F23" s="140"/>
      <c r="G23" s="100">
        <f t="shared" si="0"/>
        <v>113170</v>
      </c>
      <c r="H23" s="100">
        <f>H21*30.2%</f>
        <v>46106</v>
      </c>
      <c r="I23" s="100">
        <f>I21*30.2%</f>
        <v>16766</v>
      </c>
      <c r="J23" s="100">
        <f>J21*34.2%</f>
        <v>0</v>
      </c>
      <c r="K23" s="100">
        <f>K21*30.2%</f>
        <v>50298</v>
      </c>
      <c r="L23" s="87">
        <f t="shared" si="1"/>
        <v>16.12</v>
      </c>
      <c r="M23" s="78"/>
    </row>
    <row r="24" spans="1:19" s="5" customFormat="1" ht="20.25">
      <c r="A24" s="131"/>
      <c r="B24" s="58" t="s">
        <v>75</v>
      </c>
      <c r="C24" s="59"/>
      <c r="D24" s="59"/>
      <c r="E24" s="59"/>
      <c r="F24" s="141"/>
      <c r="G24" s="97">
        <f>SUM(H24:K24)</f>
        <v>143034</v>
      </c>
      <c r="H24" s="166">
        <f>H25+H26+H27+H40+H41+H46</f>
        <v>58274</v>
      </c>
      <c r="I24" s="166">
        <f>I25+I26+I27+I40+I41+I46</f>
        <v>21190</v>
      </c>
      <c r="J24" s="166">
        <f>J25+J26+J27+J40+J41+J46</f>
        <v>0</v>
      </c>
      <c r="K24" s="166">
        <f>K25+K26+K27+K40+K41+K46</f>
        <v>63570</v>
      </c>
      <c r="L24" s="80">
        <f t="shared" si="1"/>
        <v>20.38</v>
      </c>
      <c r="M24" s="79"/>
      <c r="N24" s="170">
        <f>G48/G18</f>
        <v>0</v>
      </c>
      <c r="P24" s="169"/>
      <c r="Q24" s="169"/>
      <c r="R24" s="169"/>
      <c r="S24" s="32"/>
    </row>
    <row r="25" spans="1:19" s="6" customFormat="1" ht="17.25" customHeight="1">
      <c r="A25" s="132"/>
      <c r="B25" s="46" t="s">
        <v>39</v>
      </c>
      <c r="C25" s="7"/>
      <c r="D25" s="7"/>
      <c r="E25" s="7"/>
      <c r="F25" s="142"/>
      <c r="G25" s="101">
        <f t="shared" si="0"/>
        <v>0</v>
      </c>
      <c r="H25" s="101"/>
      <c r="I25" s="101"/>
      <c r="J25" s="101"/>
      <c r="K25" s="101"/>
      <c r="L25" s="80">
        <f t="shared" si="1"/>
        <v>0</v>
      </c>
      <c r="M25" s="45"/>
      <c r="O25" s="5"/>
      <c r="P25" s="169"/>
      <c r="Q25" s="169"/>
      <c r="R25" s="169"/>
      <c r="S25" s="32"/>
    </row>
    <row r="26" spans="1:13" s="6" customFormat="1" ht="17.25" customHeight="1">
      <c r="A26" s="132"/>
      <c r="B26" s="46" t="s">
        <v>40</v>
      </c>
      <c r="C26" s="7"/>
      <c r="D26" s="7"/>
      <c r="E26" s="7"/>
      <c r="F26" s="142"/>
      <c r="G26" s="101">
        <f t="shared" si="0"/>
        <v>0</v>
      </c>
      <c r="H26" s="101"/>
      <c r="I26" s="102"/>
      <c r="J26" s="102"/>
      <c r="K26" s="102"/>
      <c r="L26" s="80">
        <f t="shared" si="1"/>
        <v>0</v>
      </c>
      <c r="M26" s="45"/>
    </row>
    <row r="27" spans="1:14" s="6" customFormat="1" ht="18" customHeight="1">
      <c r="A27" s="132"/>
      <c r="B27" s="83" t="s">
        <v>58</v>
      </c>
      <c r="C27" s="20"/>
      <c r="D27" s="20"/>
      <c r="E27" s="20"/>
      <c r="F27" s="143"/>
      <c r="G27" s="101">
        <f>SUM(H27:K27)</f>
        <v>87751</v>
      </c>
      <c r="H27" s="101">
        <f>H28+H31+H35</f>
        <v>35751</v>
      </c>
      <c r="I27" s="101">
        <f>I28+I31+I35</f>
        <v>13000</v>
      </c>
      <c r="J27" s="101">
        <f>J28+J31+J35</f>
        <v>0</v>
      </c>
      <c r="K27" s="101">
        <f>K28+K31+K35</f>
        <v>39000</v>
      </c>
      <c r="L27" s="80">
        <f t="shared" si="1"/>
        <v>12.5</v>
      </c>
      <c r="M27" s="78">
        <f>G27/G18</f>
        <v>0.1</v>
      </c>
      <c r="N27" s="75"/>
    </row>
    <row r="28" spans="1:14" s="8" customFormat="1" ht="18.75">
      <c r="A28" s="133"/>
      <c r="B28" s="22" t="s">
        <v>1</v>
      </c>
      <c r="C28" s="23"/>
      <c r="D28" s="23"/>
      <c r="E28" s="23"/>
      <c r="F28" s="144"/>
      <c r="G28" s="103">
        <f t="shared" si="0"/>
        <v>57038</v>
      </c>
      <c r="H28" s="103">
        <f>6.5%*H18</f>
        <v>23238</v>
      </c>
      <c r="I28" s="103">
        <f>6.5%*I18</f>
        <v>8450</v>
      </c>
      <c r="J28" s="103"/>
      <c r="K28" s="103">
        <f>6.5%*K18</f>
        <v>25350</v>
      </c>
      <c r="L28" s="85">
        <f t="shared" si="1"/>
        <v>8.13</v>
      </c>
      <c r="M28" s="78"/>
      <c r="N28" s="76"/>
    </row>
    <row r="29" spans="1:14" s="10" customFormat="1" ht="18.75" hidden="1">
      <c r="A29" s="134"/>
      <c r="B29" s="15" t="s">
        <v>2</v>
      </c>
      <c r="C29" s="12"/>
      <c r="D29" s="12" t="s">
        <v>3</v>
      </c>
      <c r="E29" s="12"/>
      <c r="F29" s="145" t="s">
        <v>4</v>
      </c>
      <c r="G29" s="104">
        <f t="shared" si="0"/>
        <v>0</v>
      </c>
      <c r="H29" s="104"/>
      <c r="I29" s="104"/>
      <c r="J29" s="104"/>
      <c r="K29" s="104"/>
      <c r="L29" s="86">
        <f t="shared" si="1"/>
        <v>0</v>
      </c>
      <c r="M29" s="45"/>
      <c r="N29" s="77"/>
    </row>
    <row r="30" spans="1:14" s="10" customFormat="1" ht="18.75" hidden="1">
      <c r="A30" s="134"/>
      <c r="B30" s="16" t="s">
        <v>5</v>
      </c>
      <c r="C30" s="17">
        <f>C29</f>
        <v>0</v>
      </c>
      <c r="D30" s="17" t="s">
        <v>6</v>
      </c>
      <c r="E30" s="17"/>
      <c r="F30" s="146"/>
      <c r="G30" s="104">
        <f t="shared" si="0"/>
        <v>0</v>
      </c>
      <c r="H30" s="104"/>
      <c r="I30" s="104"/>
      <c r="J30" s="104"/>
      <c r="K30" s="104"/>
      <c r="L30" s="86">
        <f t="shared" si="1"/>
        <v>0</v>
      </c>
      <c r="M30" s="45"/>
      <c r="N30" s="77"/>
    </row>
    <row r="31" spans="1:14" s="8" customFormat="1" ht="18.75">
      <c r="A31" s="133"/>
      <c r="B31" s="13" t="s">
        <v>7</v>
      </c>
      <c r="C31" s="14"/>
      <c r="D31" s="14"/>
      <c r="E31" s="14"/>
      <c r="F31" s="147"/>
      <c r="G31" s="105">
        <f t="shared" si="0"/>
        <v>18428</v>
      </c>
      <c r="H31" s="105">
        <f>2.1%*H18</f>
        <v>7508</v>
      </c>
      <c r="I31" s="105">
        <f>2.1%*I18</f>
        <v>2730</v>
      </c>
      <c r="J31" s="105">
        <f>2%*J18</f>
        <v>0</v>
      </c>
      <c r="K31" s="105">
        <f>2.1%*K18</f>
        <v>8190</v>
      </c>
      <c r="L31" s="86">
        <f t="shared" si="1"/>
        <v>2.63</v>
      </c>
      <c r="M31" s="78"/>
      <c r="N31" s="76"/>
    </row>
    <row r="32" spans="1:14" s="10" customFormat="1" ht="18.75" hidden="1">
      <c r="A32" s="134"/>
      <c r="B32" s="11"/>
      <c r="C32" s="12"/>
      <c r="D32" s="12">
        <f>1.44*24*3</f>
        <v>103.68</v>
      </c>
      <c r="E32" s="12" t="s">
        <v>67</v>
      </c>
      <c r="F32" s="148"/>
      <c r="G32" s="135"/>
      <c r="H32" s="104"/>
      <c r="I32" s="104"/>
      <c r="J32" s="104"/>
      <c r="K32" s="104"/>
      <c r="L32" s="86">
        <f t="shared" si="1"/>
        <v>0</v>
      </c>
      <c r="M32" s="45"/>
      <c r="N32" s="77"/>
    </row>
    <row r="33" spans="1:14" s="10" customFormat="1" ht="18.75" hidden="1">
      <c r="A33" s="134"/>
      <c r="B33" s="11" t="s">
        <v>48</v>
      </c>
      <c r="C33" s="149"/>
      <c r="D33" s="12"/>
      <c r="E33" s="12"/>
      <c r="F33" s="145"/>
      <c r="G33" s="104"/>
      <c r="H33" s="104"/>
      <c r="I33" s="104"/>
      <c r="J33" s="104"/>
      <c r="K33" s="104"/>
      <c r="L33" s="86">
        <f t="shared" si="1"/>
        <v>0</v>
      </c>
      <c r="M33" s="45"/>
      <c r="N33" s="77"/>
    </row>
    <row r="34" spans="1:14" s="10" customFormat="1" ht="18.75" hidden="1">
      <c r="A34" s="134"/>
      <c r="B34" s="83"/>
      <c r="C34" s="12" t="s">
        <v>49</v>
      </c>
      <c r="D34" s="12"/>
      <c r="E34" s="12"/>
      <c r="F34" s="150"/>
      <c r="G34" s="104" t="s">
        <v>50</v>
      </c>
      <c r="H34" s="104"/>
      <c r="I34" s="104"/>
      <c r="J34" s="104"/>
      <c r="K34" s="104"/>
      <c r="L34" s="86" t="e">
        <f t="shared" si="1"/>
        <v>#VALUE!</v>
      </c>
      <c r="M34" s="45"/>
      <c r="N34" s="77"/>
    </row>
    <row r="35" spans="1:14" s="8" customFormat="1" ht="18.75">
      <c r="A35" s="133"/>
      <c r="B35" s="22" t="s">
        <v>8</v>
      </c>
      <c r="C35" s="14"/>
      <c r="D35" s="14"/>
      <c r="E35" s="14"/>
      <c r="F35" s="144"/>
      <c r="G35" s="106">
        <f>SUM(H35:K35)</f>
        <v>12285</v>
      </c>
      <c r="H35" s="106">
        <f>1.4%*H18</f>
        <v>5005</v>
      </c>
      <c r="I35" s="106">
        <f>1.4%*I18</f>
        <v>1820</v>
      </c>
      <c r="J35" s="106">
        <f>(12.69+13.09+20.75)*J12</f>
        <v>0</v>
      </c>
      <c r="K35" s="106">
        <f>1.4%*K18</f>
        <v>5460</v>
      </c>
      <c r="L35" s="87">
        <f t="shared" si="1"/>
        <v>1.75</v>
      </c>
      <c r="M35" s="78"/>
      <c r="N35" s="76"/>
    </row>
    <row r="36" spans="1:13" s="10" customFormat="1" ht="18.75" hidden="1">
      <c r="A36" s="134"/>
      <c r="B36" s="11" t="s">
        <v>9</v>
      </c>
      <c r="C36" s="12"/>
      <c r="D36" s="12">
        <v>10.5</v>
      </c>
      <c r="E36" s="12" t="s">
        <v>65</v>
      </c>
      <c r="F36" s="151"/>
      <c r="G36" s="107"/>
      <c r="H36" s="107"/>
      <c r="I36" s="107"/>
      <c r="J36" s="107"/>
      <c r="K36" s="107"/>
      <c r="L36" s="124">
        <f t="shared" si="1"/>
        <v>0</v>
      </c>
      <c r="M36" s="78"/>
    </row>
    <row r="37" spans="1:13" s="10" customFormat="1" ht="18.75" hidden="1">
      <c r="A37" s="134"/>
      <c r="B37" s="11" t="s">
        <v>10</v>
      </c>
      <c r="C37" s="12"/>
      <c r="D37" s="12">
        <v>14.5</v>
      </c>
      <c r="E37" s="12" t="s">
        <v>66</v>
      </c>
      <c r="F37" s="151"/>
      <c r="G37" s="107"/>
      <c r="H37" s="107"/>
      <c r="I37" s="107"/>
      <c r="J37" s="107"/>
      <c r="K37" s="107"/>
      <c r="L37" s="124">
        <f t="shared" si="1"/>
        <v>0</v>
      </c>
      <c r="M37" s="78"/>
    </row>
    <row r="38" spans="1:13" s="8" customFormat="1" ht="11.25" customHeight="1" hidden="1">
      <c r="A38" s="133"/>
      <c r="B38" s="18"/>
      <c r="C38" s="4"/>
      <c r="D38" s="4"/>
      <c r="E38" s="4"/>
      <c r="F38" s="152"/>
      <c r="G38" s="108"/>
      <c r="H38" s="108"/>
      <c r="I38" s="108"/>
      <c r="J38" s="109"/>
      <c r="K38" s="109"/>
      <c r="L38" s="124">
        <f t="shared" si="1"/>
        <v>0</v>
      </c>
      <c r="M38" s="78"/>
    </row>
    <row r="39" spans="1:13" s="6" customFormat="1" ht="18.75" customHeight="1" hidden="1">
      <c r="A39" s="132"/>
      <c r="B39" s="49" t="s">
        <v>41</v>
      </c>
      <c r="C39" s="7"/>
      <c r="D39" s="7"/>
      <c r="E39" s="7"/>
      <c r="F39" s="142"/>
      <c r="G39" s="110"/>
      <c r="H39" s="110"/>
      <c r="I39" s="110"/>
      <c r="J39" s="108"/>
      <c r="K39" s="108"/>
      <c r="L39" s="93">
        <f t="shared" si="1"/>
        <v>0</v>
      </c>
      <c r="M39" s="78"/>
    </row>
    <row r="40" spans="1:13" s="6" customFormat="1" ht="20.25" customHeight="1" hidden="1">
      <c r="A40" s="132"/>
      <c r="B40" s="51"/>
      <c r="C40" s="19"/>
      <c r="D40" s="19"/>
      <c r="E40" s="19"/>
      <c r="F40" s="153"/>
      <c r="G40" s="100">
        <f aca="true" t="shared" si="2" ref="G40:G50">SUM(H40:K40)</f>
        <v>0</v>
      </c>
      <c r="H40" s="111"/>
      <c r="I40" s="111"/>
      <c r="J40" s="111"/>
      <c r="K40" s="111"/>
      <c r="L40" s="87">
        <f t="shared" si="1"/>
        <v>0</v>
      </c>
      <c r="M40" s="78"/>
    </row>
    <row r="41" spans="1:13" s="6" customFormat="1" ht="21" customHeight="1" hidden="1">
      <c r="A41" s="132"/>
      <c r="B41" s="50" t="s">
        <v>42</v>
      </c>
      <c r="C41" s="20"/>
      <c r="D41" s="20"/>
      <c r="E41" s="20"/>
      <c r="F41" s="143"/>
      <c r="G41" s="101">
        <f t="shared" si="2"/>
        <v>0</v>
      </c>
      <c r="H41" s="101">
        <f>H42+H44+H45</f>
        <v>0</v>
      </c>
      <c r="I41" s="101">
        <f>I42+I44+I45</f>
        <v>0</v>
      </c>
      <c r="J41" s="101">
        <f>J42+J44+J45</f>
        <v>0</v>
      </c>
      <c r="K41" s="101">
        <f>K42+K44+K45</f>
        <v>0</v>
      </c>
      <c r="L41" s="80">
        <f t="shared" si="1"/>
        <v>0</v>
      </c>
      <c r="M41" s="78"/>
    </row>
    <row r="42" spans="1:13" s="21" customFormat="1" ht="15" customHeight="1" hidden="1">
      <c r="A42" s="136"/>
      <c r="B42" s="22" t="s">
        <v>11</v>
      </c>
      <c r="C42" s="23"/>
      <c r="D42" s="23"/>
      <c r="E42" s="23"/>
      <c r="F42" s="144"/>
      <c r="G42" s="112">
        <f t="shared" si="2"/>
        <v>0</v>
      </c>
      <c r="H42" s="112"/>
      <c r="I42" s="112"/>
      <c r="J42" s="112"/>
      <c r="K42" s="112"/>
      <c r="L42" s="123">
        <f t="shared" si="1"/>
        <v>0</v>
      </c>
      <c r="M42" s="78"/>
    </row>
    <row r="43" spans="1:13" s="10" customFormat="1" ht="15" customHeight="1" hidden="1">
      <c r="A43" s="134"/>
      <c r="B43" s="11" t="s">
        <v>12</v>
      </c>
      <c r="C43" s="12"/>
      <c r="D43" s="12"/>
      <c r="E43" s="12"/>
      <c r="F43" s="145" t="s">
        <v>13</v>
      </c>
      <c r="G43" s="105">
        <f t="shared" si="2"/>
        <v>0</v>
      </c>
      <c r="H43" s="104">
        <f>ROUND(E43*0.976*1.18,1)</f>
        <v>0</v>
      </c>
      <c r="I43" s="104">
        <f>ROUND(E43*0.976*1.18,1)</f>
        <v>0</v>
      </c>
      <c r="J43" s="104"/>
      <c r="K43" s="104"/>
      <c r="L43" s="86">
        <f t="shared" si="1"/>
        <v>0</v>
      </c>
      <c r="M43" s="45"/>
    </row>
    <row r="44" spans="1:13" s="8" customFormat="1" ht="15" customHeight="1" hidden="1">
      <c r="A44" s="133"/>
      <c r="B44" s="13" t="s">
        <v>73</v>
      </c>
      <c r="C44" s="14"/>
      <c r="D44" s="14"/>
      <c r="E44" s="14"/>
      <c r="F44" s="147"/>
      <c r="G44" s="105">
        <f t="shared" si="2"/>
        <v>0</v>
      </c>
      <c r="H44" s="105"/>
      <c r="I44" s="105"/>
      <c r="J44" s="105"/>
      <c r="K44" s="105"/>
      <c r="L44" s="86">
        <f t="shared" si="1"/>
        <v>0</v>
      </c>
      <c r="M44" s="45"/>
    </row>
    <row r="45" spans="1:13" s="10" customFormat="1" ht="15" customHeight="1" hidden="1">
      <c r="A45" s="134"/>
      <c r="B45" s="13" t="s">
        <v>14</v>
      </c>
      <c r="C45" s="25"/>
      <c r="D45" s="25"/>
      <c r="E45" s="25"/>
      <c r="F45" s="154"/>
      <c r="G45" s="106">
        <f t="shared" si="2"/>
        <v>0</v>
      </c>
      <c r="H45" s="106"/>
      <c r="I45" s="106"/>
      <c r="J45" s="106"/>
      <c r="K45" s="106"/>
      <c r="L45" s="87">
        <f t="shared" si="1"/>
        <v>0</v>
      </c>
      <c r="M45" s="45"/>
    </row>
    <row r="46" spans="1:20" s="6" customFormat="1" ht="15.75" customHeight="1">
      <c r="A46" s="132"/>
      <c r="B46" s="50" t="s">
        <v>43</v>
      </c>
      <c r="C46" s="20"/>
      <c r="D46" s="20"/>
      <c r="E46" s="20"/>
      <c r="F46" s="143"/>
      <c r="G46" s="101">
        <f t="shared" si="2"/>
        <v>55283</v>
      </c>
      <c r="H46" s="101">
        <f>SUM(H47:H50)</f>
        <v>22523</v>
      </c>
      <c r="I46" s="101">
        <f>SUM(I47:I50)</f>
        <v>8190</v>
      </c>
      <c r="J46" s="101">
        <f>SUM(J47:J50)</f>
        <v>0</v>
      </c>
      <c r="K46" s="101">
        <f>SUM(K47:K50)</f>
        <v>24570</v>
      </c>
      <c r="L46" s="80">
        <f t="shared" si="1"/>
        <v>7.88</v>
      </c>
      <c r="M46" s="78">
        <f>G46/G18</f>
        <v>0.06</v>
      </c>
      <c r="R46" s="164"/>
      <c r="T46" s="164"/>
    </row>
    <row r="47" spans="1:22" s="8" customFormat="1" ht="15" customHeight="1">
      <c r="A47" s="133"/>
      <c r="B47" s="22" t="s">
        <v>72</v>
      </c>
      <c r="C47" s="23"/>
      <c r="D47" s="23"/>
      <c r="E47" s="23"/>
      <c r="F47" s="125"/>
      <c r="G47" s="103">
        <f t="shared" si="2"/>
        <v>43875</v>
      </c>
      <c r="H47" s="103">
        <f>H18*0.05</f>
        <v>17875</v>
      </c>
      <c r="I47" s="103">
        <f>I18*0.05</f>
        <v>6500</v>
      </c>
      <c r="J47" s="103">
        <f>J18*0.05</f>
        <v>0</v>
      </c>
      <c r="K47" s="103">
        <f>K18*0.05</f>
        <v>19500</v>
      </c>
      <c r="L47" s="85">
        <f t="shared" si="1"/>
        <v>6.25</v>
      </c>
      <c r="M47" s="45"/>
      <c r="O47" s="21"/>
      <c r="P47" s="21"/>
      <c r="Q47" s="21"/>
      <c r="R47" s="21"/>
      <c r="S47" s="21"/>
      <c r="T47" s="21"/>
      <c r="U47" s="319"/>
      <c r="V47" s="319"/>
    </row>
    <row r="48" spans="1:20" s="8" customFormat="1" ht="15" customHeight="1">
      <c r="A48" s="133"/>
      <c r="B48" s="13" t="s">
        <v>71</v>
      </c>
      <c r="C48" s="14"/>
      <c r="D48" s="14"/>
      <c r="E48" s="14"/>
      <c r="F48" s="24"/>
      <c r="G48" s="105">
        <f>SUM(H48:K48)</f>
        <v>0</v>
      </c>
      <c r="H48" s="105"/>
      <c r="I48" s="105"/>
      <c r="J48" s="105"/>
      <c r="K48" s="105"/>
      <c r="L48" s="86">
        <f t="shared" si="1"/>
        <v>0</v>
      </c>
      <c r="M48" s="45"/>
      <c r="O48" s="21"/>
      <c r="P48" s="21"/>
      <c r="Q48" s="21"/>
      <c r="R48" s="21"/>
      <c r="S48" s="21"/>
      <c r="T48" s="21"/>
    </row>
    <row r="49" spans="1:13" s="8" customFormat="1" ht="15" customHeight="1">
      <c r="A49" s="133"/>
      <c r="B49" s="13" t="s">
        <v>83</v>
      </c>
      <c r="C49" s="14"/>
      <c r="D49" s="14"/>
      <c r="E49" s="14"/>
      <c r="F49" s="24"/>
      <c r="G49" s="176">
        <f>SUM(H49:K49)</f>
        <v>11408</v>
      </c>
      <c r="H49" s="103">
        <f>H18*1.3%</f>
        <v>4648</v>
      </c>
      <c r="I49" s="103">
        <f>I18*1.3%</f>
        <v>1690</v>
      </c>
      <c r="J49" s="103">
        <f>J18*1.3%</f>
        <v>0</v>
      </c>
      <c r="K49" s="103">
        <f>K18*1.3%</f>
        <v>5070</v>
      </c>
      <c r="L49" s="87">
        <f t="shared" si="1"/>
        <v>1.63</v>
      </c>
      <c r="M49" s="45"/>
    </row>
    <row r="50" spans="1:22" s="10" customFormat="1" ht="15" customHeight="1">
      <c r="A50" s="134"/>
      <c r="B50" s="26" t="s">
        <v>80</v>
      </c>
      <c r="C50" s="173"/>
      <c r="D50" s="173"/>
      <c r="E50" s="27"/>
      <c r="F50" s="155"/>
      <c r="G50" s="106">
        <f t="shared" si="2"/>
        <v>0</v>
      </c>
      <c r="H50" s="106"/>
      <c r="I50" s="106"/>
      <c r="J50" s="106"/>
      <c r="K50" s="106"/>
      <c r="L50" s="124">
        <f t="shared" si="1"/>
        <v>0</v>
      </c>
      <c r="M50" s="45"/>
      <c r="O50" s="8"/>
      <c r="P50" s="8"/>
      <c r="Q50" s="8"/>
      <c r="R50" s="8"/>
      <c r="S50" s="8"/>
      <c r="T50" s="8"/>
      <c r="U50" s="8"/>
      <c r="V50" s="8"/>
    </row>
    <row r="51" spans="1:22" s="5" customFormat="1" ht="15" customHeight="1">
      <c r="A51" s="131"/>
      <c r="B51" s="57" t="s">
        <v>76</v>
      </c>
      <c r="C51" s="31"/>
      <c r="D51" s="31"/>
      <c r="E51" s="31"/>
      <c r="F51" s="156"/>
      <c r="G51" s="98"/>
      <c r="H51" s="98"/>
      <c r="I51" s="98"/>
      <c r="J51" s="98"/>
      <c r="K51" s="98"/>
      <c r="L51" s="85">
        <f t="shared" si="1"/>
        <v>0</v>
      </c>
      <c r="M51" s="45"/>
      <c r="O51" s="8"/>
      <c r="P51" s="8"/>
      <c r="Q51" s="8"/>
      <c r="R51" s="8"/>
      <c r="S51" s="8"/>
      <c r="T51" s="8"/>
      <c r="U51" s="8"/>
      <c r="V51" s="8"/>
    </row>
    <row r="52" spans="1:22" s="5" customFormat="1" ht="15" customHeight="1">
      <c r="A52" s="131"/>
      <c r="B52" s="54"/>
      <c r="C52" s="30"/>
      <c r="D52" s="30"/>
      <c r="E52" s="30"/>
      <c r="F52" s="157"/>
      <c r="G52" s="100"/>
      <c r="H52" s="100"/>
      <c r="I52" s="100"/>
      <c r="J52" s="100"/>
      <c r="K52" s="100"/>
      <c r="L52" s="87">
        <f t="shared" si="1"/>
        <v>0</v>
      </c>
      <c r="M52" s="45"/>
      <c r="O52" s="8"/>
      <c r="P52" s="8"/>
      <c r="Q52" s="8"/>
      <c r="R52" s="8"/>
      <c r="S52" s="8"/>
      <c r="T52" s="8"/>
      <c r="U52" s="8"/>
      <c r="V52" s="8"/>
    </row>
    <row r="53" spans="1:22" s="5" customFormat="1" ht="15" customHeight="1">
      <c r="A53" s="131"/>
      <c r="B53" s="57" t="s">
        <v>77</v>
      </c>
      <c r="C53" s="52"/>
      <c r="D53" s="52"/>
      <c r="E53" s="52"/>
      <c r="F53" s="158"/>
      <c r="G53" s="98"/>
      <c r="H53" s="98"/>
      <c r="I53" s="98"/>
      <c r="J53" s="98"/>
      <c r="K53" s="98"/>
      <c r="L53" s="85">
        <f t="shared" si="1"/>
        <v>0</v>
      </c>
      <c r="M53" s="45"/>
      <c r="O53" s="8"/>
      <c r="P53" s="8"/>
      <c r="Q53" s="8"/>
      <c r="R53" s="8"/>
      <c r="S53" s="8"/>
      <c r="T53" s="8"/>
      <c r="U53" s="8"/>
      <c r="V53" s="8"/>
    </row>
    <row r="54" spans="1:22" s="5" customFormat="1" ht="15" customHeight="1">
      <c r="A54" s="131"/>
      <c r="B54" s="55"/>
      <c r="C54" s="53"/>
      <c r="D54" s="53"/>
      <c r="E54" s="53"/>
      <c r="F54" s="159"/>
      <c r="G54" s="113">
        <f aca="true" t="shared" si="3" ref="G54:G71">SUM(H54:K54)</f>
        <v>246561</v>
      </c>
      <c r="H54" s="113">
        <f>H60+H55</f>
        <v>100450</v>
      </c>
      <c r="I54" s="113">
        <f>I60+I55</f>
        <v>36528</v>
      </c>
      <c r="J54" s="113">
        <f>J60+J55</f>
        <v>0</v>
      </c>
      <c r="K54" s="113">
        <f>K60+K55</f>
        <v>109583</v>
      </c>
      <c r="L54" s="87">
        <f t="shared" si="1"/>
        <v>35.12</v>
      </c>
      <c r="M54" s="78"/>
      <c r="O54" s="8"/>
      <c r="P54" s="8"/>
      <c r="Q54" s="8"/>
      <c r="R54" s="8"/>
      <c r="S54" s="8"/>
      <c r="T54" s="8"/>
      <c r="U54" s="164"/>
      <c r="V54" s="164"/>
    </row>
    <row r="55" spans="1:20" s="28" customFormat="1" ht="18.75" customHeight="1">
      <c r="A55" s="137"/>
      <c r="B55" s="83" t="s">
        <v>45</v>
      </c>
      <c r="C55" s="84"/>
      <c r="D55" s="84"/>
      <c r="E55" s="84"/>
      <c r="F55" s="160"/>
      <c r="G55" s="101">
        <f t="shared" si="3"/>
        <v>0</v>
      </c>
      <c r="H55" s="101">
        <f>SUM(H56:H59)</f>
        <v>0</v>
      </c>
      <c r="I55" s="101">
        <f>SUM(I56:I59)</f>
        <v>0</v>
      </c>
      <c r="J55" s="101">
        <f>SUM(J56:J59)</f>
        <v>0</v>
      </c>
      <c r="K55" s="101">
        <f>SUM(K56:K59)</f>
        <v>0</v>
      </c>
      <c r="L55" s="80">
        <f t="shared" si="1"/>
        <v>0</v>
      </c>
      <c r="M55" s="78"/>
      <c r="O55" s="8"/>
      <c r="P55" s="8"/>
      <c r="Q55" s="8"/>
      <c r="R55" s="8"/>
      <c r="S55" s="8"/>
      <c r="T55" s="8"/>
    </row>
    <row r="56" spans="1:20" s="21" customFormat="1" ht="15" customHeight="1">
      <c r="A56" s="136"/>
      <c r="B56" s="22" t="s">
        <v>59</v>
      </c>
      <c r="C56" s="23"/>
      <c r="D56" s="23"/>
      <c r="E56" s="23"/>
      <c r="F56" s="174"/>
      <c r="G56" s="103">
        <f t="shared" si="3"/>
        <v>0</v>
      </c>
      <c r="H56" s="114"/>
      <c r="I56" s="114"/>
      <c r="J56" s="114"/>
      <c r="K56" s="114"/>
      <c r="L56" s="85">
        <f t="shared" si="1"/>
        <v>0</v>
      </c>
      <c r="M56" s="78"/>
      <c r="O56" s="8"/>
      <c r="P56" s="8"/>
      <c r="Q56" s="8"/>
      <c r="R56" s="8"/>
      <c r="S56" s="8"/>
      <c r="T56" s="8"/>
    </row>
    <row r="57" spans="1:13" s="21" customFormat="1" ht="15" customHeight="1">
      <c r="A57" s="136"/>
      <c r="B57" s="13" t="s">
        <v>15</v>
      </c>
      <c r="C57" s="14"/>
      <c r="D57" s="14"/>
      <c r="E57" s="14"/>
      <c r="F57" s="175"/>
      <c r="G57" s="105">
        <f t="shared" si="3"/>
        <v>0</v>
      </c>
      <c r="H57" s="99"/>
      <c r="I57" s="99"/>
      <c r="J57" s="99"/>
      <c r="K57" s="99"/>
      <c r="L57" s="86">
        <f t="shared" si="1"/>
        <v>0</v>
      </c>
      <c r="M57" s="78"/>
    </row>
    <row r="58" spans="1:16" s="8" customFormat="1" ht="15" customHeight="1">
      <c r="A58" s="133"/>
      <c r="B58" s="22" t="s">
        <v>60</v>
      </c>
      <c r="C58" s="23"/>
      <c r="D58" s="23"/>
      <c r="E58" s="23"/>
      <c r="F58" s="174"/>
      <c r="G58" s="105">
        <f t="shared" si="3"/>
        <v>0</v>
      </c>
      <c r="H58" s="99"/>
      <c r="I58" s="99"/>
      <c r="J58" s="99"/>
      <c r="K58" s="99"/>
      <c r="L58" s="86">
        <f t="shared" si="1"/>
        <v>0</v>
      </c>
      <c r="M58" s="78"/>
      <c r="O58" s="179">
        <f>P55+Q55+R55+S55+T55</f>
        <v>0</v>
      </c>
      <c r="P58" s="180">
        <f>O58-G48</f>
        <v>0</v>
      </c>
    </row>
    <row r="59" spans="1:17" s="8" customFormat="1" ht="15" customHeight="1">
      <c r="A59" s="133"/>
      <c r="B59" s="13" t="s">
        <v>16</v>
      </c>
      <c r="C59" s="14"/>
      <c r="D59" s="14"/>
      <c r="E59" s="14"/>
      <c r="F59" s="175"/>
      <c r="G59" s="106">
        <f t="shared" si="3"/>
        <v>0</v>
      </c>
      <c r="H59" s="100"/>
      <c r="I59" s="100"/>
      <c r="J59" s="100"/>
      <c r="K59" s="100"/>
      <c r="L59" s="87">
        <f t="shared" si="1"/>
        <v>0</v>
      </c>
      <c r="M59" s="45"/>
      <c r="Q59" s="8" t="s">
        <v>82</v>
      </c>
    </row>
    <row r="60" spans="1:21" s="6" customFormat="1" ht="15.75" customHeight="1">
      <c r="A60" s="132"/>
      <c r="B60" s="83" t="s">
        <v>44</v>
      </c>
      <c r="C60" s="20"/>
      <c r="D60" s="20"/>
      <c r="E60" s="20"/>
      <c r="F60" s="143"/>
      <c r="G60" s="101">
        <f t="shared" si="3"/>
        <v>246561</v>
      </c>
      <c r="H60" s="101">
        <f>SUM(H61:H64)+H71</f>
        <v>100450</v>
      </c>
      <c r="I60" s="101">
        <f>SUM(I61:I64)+I71</f>
        <v>36528</v>
      </c>
      <c r="J60" s="101">
        <f>SUM(J61:J64)+J71</f>
        <v>0</v>
      </c>
      <c r="K60" s="101">
        <f>SUM(K61:K64)+K71</f>
        <v>109583</v>
      </c>
      <c r="L60" s="80">
        <f t="shared" si="1"/>
        <v>35.12</v>
      </c>
      <c r="M60" s="78"/>
      <c r="R60" s="164"/>
      <c r="T60" s="164"/>
      <c r="U60" s="164"/>
    </row>
    <row r="61" spans="1:13" s="21" customFormat="1" ht="15" customHeight="1">
      <c r="A61" s="136"/>
      <c r="B61" s="22" t="s">
        <v>17</v>
      </c>
      <c r="C61" s="94"/>
      <c r="D61" s="94"/>
      <c r="E61" s="94"/>
      <c r="F61" s="161"/>
      <c r="G61" s="103">
        <f t="shared" si="3"/>
        <v>0</v>
      </c>
      <c r="H61" s="114"/>
      <c r="I61" s="114"/>
      <c r="J61" s="114"/>
      <c r="K61" s="114"/>
      <c r="L61" s="85">
        <f t="shared" si="1"/>
        <v>0</v>
      </c>
      <c r="M61" s="78"/>
    </row>
    <row r="62" spans="1:13" s="21" customFormat="1" ht="15" customHeight="1">
      <c r="A62" s="136"/>
      <c r="B62" s="13" t="s">
        <v>18</v>
      </c>
      <c r="C62" s="14"/>
      <c r="D62" s="14"/>
      <c r="E62" s="14"/>
      <c r="F62" s="24"/>
      <c r="G62" s="105">
        <f t="shared" si="3"/>
        <v>0</v>
      </c>
      <c r="H62" s="99"/>
      <c r="I62" s="99"/>
      <c r="J62" s="99"/>
      <c r="K62" s="99"/>
      <c r="L62" s="86">
        <f t="shared" si="1"/>
        <v>0</v>
      </c>
      <c r="M62" s="78"/>
    </row>
    <row r="63" spans="1:13" s="8" customFormat="1" ht="15" customHeight="1">
      <c r="A63" s="133"/>
      <c r="B63" s="13" t="s">
        <v>19</v>
      </c>
      <c r="C63" s="14"/>
      <c r="D63" s="14"/>
      <c r="E63" s="14"/>
      <c r="F63" s="24"/>
      <c r="G63" s="105">
        <f t="shared" si="3"/>
        <v>0</v>
      </c>
      <c r="H63" s="99"/>
      <c r="I63" s="99"/>
      <c r="J63" s="99"/>
      <c r="K63" s="99"/>
      <c r="L63" s="86">
        <f t="shared" si="1"/>
        <v>0</v>
      </c>
      <c r="M63" s="78"/>
    </row>
    <row r="64" spans="1:13" s="8" customFormat="1" ht="15" customHeight="1">
      <c r="A64" s="133"/>
      <c r="B64" s="13" t="s">
        <v>20</v>
      </c>
      <c r="C64" s="14"/>
      <c r="D64" s="14"/>
      <c r="E64" s="14"/>
      <c r="F64" s="24"/>
      <c r="G64" s="105">
        <f>SUM(H64:K64)</f>
        <v>246561</v>
      </c>
      <c r="H64" s="99">
        <f>SUM(H65:H70)</f>
        <v>100450</v>
      </c>
      <c r="I64" s="99">
        <f>SUM(I65:I70)</f>
        <v>36528</v>
      </c>
      <c r="J64" s="99">
        <f>SUM(J65:J70)</f>
        <v>0</v>
      </c>
      <c r="K64" s="99">
        <f>SUM(K65:K70)</f>
        <v>109583</v>
      </c>
      <c r="L64" s="86">
        <f t="shared" si="1"/>
        <v>35.12</v>
      </c>
      <c r="M64" s="78"/>
    </row>
    <row r="65" spans="1:13" s="8" customFormat="1" ht="15" customHeight="1">
      <c r="A65" s="133"/>
      <c r="B65" s="13" t="s">
        <v>21</v>
      </c>
      <c r="C65" s="14"/>
      <c r="D65" s="14"/>
      <c r="E65" s="14"/>
      <c r="F65" s="24"/>
      <c r="G65" s="116">
        <f t="shared" si="3"/>
        <v>7792</v>
      </c>
      <c r="H65" s="116">
        <v>7792</v>
      </c>
      <c r="I65" s="116"/>
      <c r="J65" s="116"/>
      <c r="K65" s="116"/>
      <c r="L65" s="86">
        <f t="shared" si="1"/>
        <v>1.11</v>
      </c>
      <c r="M65" s="78"/>
    </row>
    <row r="66" spans="1:13" s="8" customFormat="1" ht="15" customHeight="1">
      <c r="A66" s="133"/>
      <c r="B66" s="13" t="s">
        <v>22</v>
      </c>
      <c r="C66" s="14"/>
      <c r="D66" s="14"/>
      <c r="E66" s="14"/>
      <c r="F66" s="24"/>
      <c r="G66" s="116">
        <f t="shared" si="3"/>
        <v>15771</v>
      </c>
      <c r="H66" s="116"/>
      <c r="I66" s="116">
        <v>10000</v>
      </c>
      <c r="J66" s="116"/>
      <c r="K66" s="116">
        <v>5771</v>
      </c>
      <c r="L66" s="86">
        <f t="shared" si="1"/>
        <v>2.25</v>
      </c>
      <c r="M66" s="78"/>
    </row>
    <row r="67" spans="1:21" s="8" customFormat="1" ht="15" customHeight="1">
      <c r="A67" s="138"/>
      <c r="B67" s="72" t="s">
        <v>68</v>
      </c>
      <c r="C67" s="73"/>
      <c r="D67" s="73"/>
      <c r="E67" s="73"/>
      <c r="F67" s="140"/>
      <c r="G67" s="139">
        <f t="shared" si="3"/>
        <v>221075</v>
      </c>
      <c r="H67" s="139">
        <f>80000+12658</f>
        <v>92658</v>
      </c>
      <c r="I67" s="139">
        <f>20000+4605</f>
        <v>24605</v>
      </c>
      <c r="J67" s="139"/>
      <c r="K67" s="139">
        <f>90000+13812</f>
        <v>103812</v>
      </c>
      <c r="L67" s="87">
        <f t="shared" si="1"/>
        <v>31.49</v>
      </c>
      <c r="M67" s="78"/>
      <c r="U67" s="1"/>
    </row>
    <row r="68" spans="2:13" s="8" customFormat="1" ht="15" customHeight="1">
      <c r="B68" s="22" t="s">
        <v>24</v>
      </c>
      <c r="C68" s="23"/>
      <c r="D68" s="23"/>
      <c r="E68" s="23"/>
      <c r="F68" s="125"/>
      <c r="G68" s="126">
        <f t="shared" si="3"/>
        <v>0</v>
      </c>
      <c r="H68" s="127"/>
      <c r="I68" s="126"/>
      <c r="J68" s="126"/>
      <c r="K68" s="126"/>
      <c r="L68" s="93">
        <f t="shared" si="1"/>
        <v>0</v>
      </c>
      <c r="M68" s="45"/>
    </row>
    <row r="69" spans="2:13" s="8" customFormat="1" ht="15" customHeight="1">
      <c r="B69" s="13" t="s">
        <v>25</v>
      </c>
      <c r="C69" s="14"/>
      <c r="D69" s="14"/>
      <c r="E69" s="14"/>
      <c r="F69" s="24"/>
      <c r="G69" s="116">
        <f t="shared" si="3"/>
        <v>1923</v>
      </c>
      <c r="H69" s="117"/>
      <c r="I69" s="116">
        <v>1923</v>
      </c>
      <c r="J69" s="116"/>
      <c r="K69" s="116"/>
      <c r="L69" s="86">
        <f t="shared" si="1"/>
        <v>0.27</v>
      </c>
      <c r="M69" s="45"/>
    </row>
    <row r="70" spans="2:13" s="8" customFormat="1" ht="15" customHeight="1">
      <c r="B70" s="88" t="s">
        <v>26</v>
      </c>
      <c r="C70" s="89"/>
      <c r="D70" s="89"/>
      <c r="E70" s="89"/>
      <c r="F70" s="90"/>
      <c r="G70" s="116">
        <f t="shared" si="3"/>
        <v>0</v>
      </c>
      <c r="H70" s="117"/>
      <c r="I70" s="116"/>
      <c r="J70" s="116"/>
      <c r="K70" s="116"/>
      <c r="L70" s="86">
        <f t="shared" si="1"/>
        <v>0</v>
      </c>
      <c r="M70" s="45"/>
    </row>
    <row r="71" spans="2:13" s="10" customFormat="1" ht="15" customHeight="1">
      <c r="B71" s="72" t="s">
        <v>27</v>
      </c>
      <c r="C71" s="91"/>
      <c r="D71" s="91"/>
      <c r="E71" s="91"/>
      <c r="F71" s="92"/>
      <c r="G71" s="106">
        <f t="shared" si="3"/>
        <v>0</v>
      </c>
      <c r="H71" s="115"/>
      <c r="I71" s="100"/>
      <c r="J71" s="100"/>
      <c r="K71" s="100"/>
      <c r="L71" s="87">
        <f t="shared" si="1"/>
        <v>0</v>
      </c>
      <c r="M71" s="78"/>
    </row>
    <row r="72" spans="6:13" ht="12.75" customHeight="1">
      <c r="F72" s="2"/>
      <c r="G72" s="118"/>
      <c r="H72" s="118"/>
      <c r="I72" s="119"/>
      <c r="J72" s="118"/>
      <c r="K72" s="118"/>
      <c r="L72" s="74"/>
      <c r="M72" s="45"/>
    </row>
    <row r="73" spans="6:11" ht="12.75" customHeight="1">
      <c r="F73" s="2"/>
      <c r="G73" s="118"/>
      <c r="H73" s="118"/>
      <c r="I73" s="118"/>
      <c r="J73" s="118"/>
      <c r="K73" s="118"/>
    </row>
    <row r="74" spans="2:11" ht="12.75" customHeight="1">
      <c r="B74" s="56" t="s">
        <v>46</v>
      </c>
      <c r="F74" s="2"/>
      <c r="G74" s="118" t="s">
        <v>78</v>
      </c>
      <c r="H74" s="118"/>
      <c r="I74" s="119"/>
      <c r="J74" s="118"/>
      <c r="K74" s="118"/>
    </row>
    <row r="75" spans="3:11" ht="12.75" customHeight="1">
      <c r="C75" s="56"/>
      <c r="F75" s="2"/>
      <c r="G75" s="118"/>
      <c r="H75" s="118"/>
      <c r="I75" s="119"/>
      <c r="J75" s="118"/>
      <c r="K75" s="118"/>
    </row>
    <row r="76" spans="2:11" ht="12.75" customHeight="1">
      <c r="B76" s="56" t="s">
        <v>69</v>
      </c>
      <c r="F76" s="2"/>
      <c r="G76" s="118" t="s">
        <v>84</v>
      </c>
      <c r="H76" s="118"/>
      <c r="I76" s="119"/>
      <c r="J76" s="118"/>
      <c r="K76" s="118"/>
    </row>
    <row r="77" spans="6:13" ht="12.75" customHeight="1">
      <c r="F77" s="2"/>
      <c r="G77" s="118"/>
      <c r="H77" s="118"/>
      <c r="I77" s="119"/>
      <c r="J77" s="118"/>
      <c r="K77" s="118"/>
      <c r="L77" s="82"/>
      <c r="M77" s="29"/>
    </row>
    <row r="78" spans="6:11" ht="12.75" customHeight="1">
      <c r="F78" s="2"/>
      <c r="G78" s="172"/>
      <c r="H78" s="171"/>
      <c r="I78" s="172"/>
      <c r="J78" s="171"/>
      <c r="K78" s="171"/>
    </row>
    <row r="79" spans="3:13" ht="12.75" customHeight="1">
      <c r="C79" s="177" t="s">
        <v>47</v>
      </c>
      <c r="F79" s="2"/>
      <c r="G79" s="178">
        <f>G18-(G20+G24+G55+G60+G51)</f>
        <v>0</v>
      </c>
      <c r="H79" s="178">
        <f>H18-(H20+H24+H55+H60+H51)</f>
        <v>0</v>
      </c>
      <c r="I79" s="178">
        <f>I18-(I20+I24+I55+I60+I51)</f>
        <v>0</v>
      </c>
      <c r="J79" s="178">
        <f>J18-(J20+J24+J55+J60+J51)</f>
        <v>0</v>
      </c>
      <c r="K79" s="178">
        <f>K18-(K20+K24+K55+K60+K51)</f>
        <v>0</v>
      </c>
      <c r="L79" s="120">
        <f>L18-(L20+L24+L55+L60)</f>
        <v>0</v>
      </c>
      <c r="M79" s="120">
        <f>G79/G18</f>
        <v>0</v>
      </c>
    </row>
    <row r="80" spans="6:9" ht="12.75" customHeight="1">
      <c r="F80" s="2"/>
      <c r="G80" s="3"/>
      <c r="I80" s="3"/>
    </row>
    <row r="81" spans="6:13" ht="12.75" customHeight="1">
      <c r="F81" s="2"/>
      <c r="I81" s="3"/>
      <c r="M81" s="225">
        <f>M20+M27+M46+M79</f>
        <v>0.72</v>
      </c>
    </row>
    <row r="82" spans="6:9" ht="12.75" customHeight="1">
      <c r="F82" s="2"/>
      <c r="I82" s="3"/>
    </row>
    <row r="83" spans="6:9" ht="12.75" customHeight="1">
      <c r="F83" s="2"/>
      <c r="I83" s="3"/>
    </row>
    <row r="84" spans="6:9" ht="12.75" customHeight="1">
      <c r="F84" s="2"/>
      <c r="I84" s="3"/>
    </row>
    <row r="85" spans="6:9" ht="12.75" customHeight="1">
      <c r="F85" s="2"/>
      <c r="I85" s="3"/>
    </row>
    <row r="86" spans="6:9" ht="12.75" customHeight="1">
      <c r="F86" s="2"/>
      <c r="I86" s="3"/>
    </row>
    <row r="87" spans="6:9" ht="12.75" customHeight="1">
      <c r="F87" s="2"/>
      <c r="I87" s="3"/>
    </row>
  </sheetData>
  <sheetProtection/>
  <mergeCells count="3">
    <mergeCell ref="B2:L2"/>
    <mergeCell ref="H16:J16"/>
    <mergeCell ref="U47:V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"/>
  <sheetViews>
    <sheetView zoomScalePageLayoutView="0" workbookViewId="0" topLeftCell="A19">
      <selection activeCell="J51" sqref="J51"/>
    </sheetView>
  </sheetViews>
  <sheetFormatPr defaultColWidth="9.00390625" defaultRowHeight="12.75"/>
  <cols>
    <col min="2" max="2" width="53.375" style="0" customWidth="1"/>
    <col min="3" max="3" width="34.625" style="0" customWidth="1"/>
    <col min="4" max="4" width="11.875" style="0" hidden="1" customWidth="1"/>
    <col min="5" max="5" width="0.12890625" style="0" customWidth="1"/>
    <col min="6" max="6" width="9.125" style="0" hidden="1" customWidth="1"/>
    <col min="7" max="7" width="10.25390625" style="0" hidden="1" customWidth="1"/>
  </cols>
  <sheetData>
    <row r="1" spans="1:256" s="32" customFormat="1" ht="9.75" customHeight="1">
      <c r="A1"/>
      <c r="B1"/>
      <c r="C1" s="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3" customFormat="1" ht="15" customHeight="1">
      <c r="A2"/>
      <c r="B2"/>
      <c r="C2" s="1" t="s">
        <v>89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33" customFormat="1" ht="16.5" customHeight="1">
      <c r="A3"/>
      <c r="B3"/>
      <c r="C3" s="1" t="s">
        <v>143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32" customFormat="1" ht="9" customHeight="1">
      <c r="A4"/>
      <c r="B4"/>
      <c r="C4" s="1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2" customFormat="1" ht="8.25" customHeight="1">
      <c r="A5"/>
      <c r="B5"/>
      <c r="C5" s="1"/>
      <c r="D5"/>
      <c r="E5"/>
      <c r="F5"/>
      <c r="G5"/>
      <c r="H5"/>
      <c r="I5" s="18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9" customFormat="1" ht="14.25" customHeight="1">
      <c r="A6"/>
      <c r="B6"/>
      <c r="C6" s="1" t="s">
        <v>144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2" customFormat="1" ht="15" customHeight="1">
      <c r="A7"/>
      <c r="B7"/>
      <c r="C7" s="184" t="s">
        <v>90</v>
      </c>
      <c r="D7" s="185"/>
      <c r="E7" s="185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2" customFormat="1" ht="9" customHeight="1">
      <c r="A8"/>
      <c r="B8"/>
      <c r="C8" s="1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2" customFormat="1" ht="7.5" customHeight="1">
      <c r="A9"/>
      <c r="B9"/>
      <c r="C9" s="1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2" customFormat="1" ht="15" customHeight="1">
      <c r="A10"/>
      <c r="B10" s="186" t="s">
        <v>91</v>
      </c>
      <c r="C10" s="1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2" customFormat="1" ht="17.25" customHeight="1">
      <c r="A11" s="185" t="s">
        <v>165</v>
      </c>
      <c r="B11"/>
      <c r="C11" s="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2" customFormat="1" ht="13.5" customHeight="1">
      <c r="A12"/>
      <c r="B12"/>
      <c r="C12" s="1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2" customFormat="1" ht="12.75" customHeight="1">
      <c r="A13" s="314" t="s">
        <v>92</v>
      </c>
      <c r="B13" s="315"/>
      <c r="C13" s="315"/>
      <c r="D13" s="315"/>
      <c r="E13" s="315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2" customFormat="1" ht="21" customHeight="1">
      <c r="A14"/>
      <c r="B14" s="316" t="s">
        <v>145</v>
      </c>
      <c r="C14" s="316"/>
      <c r="D14" s="316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2" customFormat="1" ht="18" customHeight="1">
      <c r="A15" s="187" t="s">
        <v>93</v>
      </c>
      <c r="B15" s="187" t="s">
        <v>94</v>
      </c>
      <c r="C15" s="188" t="s">
        <v>95</v>
      </c>
      <c r="D15" s="189" t="s">
        <v>96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2" customFormat="1" ht="18" customHeight="1">
      <c r="A16" s="190">
        <v>1</v>
      </c>
      <c r="B16" s="191" t="s">
        <v>97</v>
      </c>
      <c r="C16" s="192">
        <f>SUM(C17:C25)</f>
        <v>503676</v>
      </c>
      <c r="D16" s="193">
        <f>SUM(D17:D25)</f>
        <v>38.16</v>
      </c>
      <c r="E16"/>
      <c r="F16" s="194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2" customFormat="1" ht="21" customHeight="1">
      <c r="A17" s="195" t="s">
        <v>98</v>
      </c>
      <c r="B17" s="196" t="s">
        <v>99</v>
      </c>
      <c r="C17" s="197">
        <f>((1000*25)+(33000*0.2)+5000)*6.75*1.3</f>
        <v>321165</v>
      </c>
      <c r="D17" s="198">
        <f>C17/(110*4*30)</f>
        <v>24.331</v>
      </c>
      <c r="E17" s="199"/>
      <c r="F17" s="19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45" customFormat="1" ht="21" customHeight="1">
      <c r="A18" s="195" t="s">
        <v>100</v>
      </c>
      <c r="B18" s="196" t="s">
        <v>101</v>
      </c>
      <c r="C18" s="200">
        <f>C17*30.2%</f>
        <v>96992</v>
      </c>
      <c r="D18" s="198">
        <f aca="true" t="shared" si="0" ref="D18:D25">C18/(110*4*30)</f>
        <v>7.348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2" customFormat="1" ht="21.75" customHeight="1">
      <c r="A19" s="195" t="s">
        <v>102</v>
      </c>
      <c r="B19" s="196" t="s">
        <v>103</v>
      </c>
      <c r="C19" s="197">
        <f>(C17*16.6856%)*1.302-24</f>
        <v>69748</v>
      </c>
      <c r="D19" s="198">
        <f t="shared" si="0"/>
        <v>5.284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2" customFormat="1" ht="19.5" customHeight="1" hidden="1">
      <c r="A20" s="195" t="s">
        <v>104</v>
      </c>
      <c r="B20" s="196" t="s">
        <v>105</v>
      </c>
      <c r="C20" s="200"/>
      <c r="D20" s="198">
        <f t="shared" si="0"/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2" customFormat="1" ht="17.25" customHeight="1" hidden="1">
      <c r="A21" s="195" t="s">
        <v>106</v>
      </c>
      <c r="B21" s="196" t="s">
        <v>107</v>
      </c>
      <c r="C21" s="200"/>
      <c r="D21" s="198">
        <f t="shared" si="0"/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2" customFormat="1" ht="17.25" customHeight="1">
      <c r="A22" s="195" t="s">
        <v>104</v>
      </c>
      <c r="B22" s="196" t="s">
        <v>108</v>
      </c>
      <c r="C22" s="200">
        <f>'Расчет (углуб.изуч.)'!G66</f>
        <v>15771</v>
      </c>
      <c r="D22" s="198">
        <f t="shared" si="0"/>
        <v>1.195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2" customFormat="1" ht="17.25" customHeight="1" hidden="1">
      <c r="A23" s="195" t="s">
        <v>166</v>
      </c>
      <c r="B23" s="196" t="s">
        <v>109</v>
      </c>
      <c r="C23" s="201"/>
      <c r="D23" s="198">
        <f t="shared" si="0"/>
        <v>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5" customFormat="1" ht="15.75" hidden="1">
      <c r="A24" s="195" t="s">
        <v>167</v>
      </c>
      <c r="B24" s="196" t="s">
        <v>110</v>
      </c>
      <c r="C24" s="201"/>
      <c r="D24" s="198">
        <f t="shared" si="0"/>
        <v>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6" customFormat="1" ht="17.25" customHeight="1" hidden="1">
      <c r="A25" s="195"/>
      <c r="B25" s="196"/>
      <c r="C25" s="202"/>
      <c r="D25" s="198">
        <f t="shared" si="0"/>
        <v>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6" customFormat="1" ht="17.25" customHeight="1" hidden="1">
      <c r="A26" s="203"/>
      <c r="B26" s="196"/>
      <c r="C26" s="202"/>
      <c r="D26" s="204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6" customFormat="1" ht="18" customHeight="1">
      <c r="A27" s="190">
        <v>2</v>
      </c>
      <c r="B27" s="191" t="s">
        <v>111</v>
      </c>
      <c r="C27" s="192">
        <f>SUM(C39:C47)</f>
        <v>373824</v>
      </c>
      <c r="D27" s="193" t="e">
        <f>D28+D39+D42+#REF!+D44+D45</f>
        <v>#REF!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8" customFormat="1" ht="26.25" hidden="1">
      <c r="A28" s="195" t="s">
        <v>112</v>
      </c>
      <c r="B28" s="205" t="s">
        <v>113</v>
      </c>
      <c r="C28" s="201"/>
      <c r="D28" s="204">
        <f>D29+D38</f>
        <v>0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0" customFormat="1" ht="18.75" customHeight="1" hidden="1">
      <c r="A29" s="206" t="s">
        <v>114</v>
      </c>
      <c r="B29" s="207" t="s">
        <v>99</v>
      </c>
      <c r="C29" s="201"/>
      <c r="D29" s="204">
        <f>SUM(D30:D37)</f>
        <v>0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0" customFormat="1" ht="18.75" customHeight="1" hidden="1">
      <c r="A30" s="206"/>
      <c r="B30" s="207" t="s">
        <v>115</v>
      </c>
      <c r="C30" s="201"/>
      <c r="D30" s="198">
        <f aca="true" t="shared" si="1" ref="D30:D47">C30/(110*4*30)</f>
        <v>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8" customFormat="1" ht="15" hidden="1">
      <c r="A31" s="206"/>
      <c r="B31" s="207" t="s">
        <v>116</v>
      </c>
      <c r="C31" s="201"/>
      <c r="D31" s="198">
        <f t="shared" si="1"/>
        <v>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0" customFormat="1" ht="18.75" customHeight="1" hidden="1">
      <c r="A32" s="206"/>
      <c r="B32" s="207" t="s">
        <v>117</v>
      </c>
      <c r="C32" s="201"/>
      <c r="D32" s="198">
        <f t="shared" si="1"/>
        <v>0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0" customFormat="1" ht="18.75" customHeight="1" hidden="1">
      <c r="A33" s="206"/>
      <c r="B33" s="207" t="s">
        <v>118</v>
      </c>
      <c r="C33" s="201"/>
      <c r="D33" s="198">
        <f t="shared" si="1"/>
        <v>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0" customFormat="1" ht="18.75" customHeight="1" hidden="1">
      <c r="A34" s="206"/>
      <c r="B34" s="207" t="s">
        <v>119</v>
      </c>
      <c r="C34" s="201"/>
      <c r="D34" s="198">
        <f t="shared" si="1"/>
        <v>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8" customFormat="1" ht="15" hidden="1">
      <c r="A35" s="206"/>
      <c r="B35" s="207" t="s">
        <v>120</v>
      </c>
      <c r="C35" s="201"/>
      <c r="D35" s="198">
        <f t="shared" si="1"/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0" customFormat="1" ht="18.75" customHeight="1" hidden="1">
      <c r="A36" s="206"/>
      <c r="B36" s="207" t="s">
        <v>121</v>
      </c>
      <c r="C36" s="201"/>
      <c r="D36" s="198">
        <f t="shared" si="1"/>
        <v>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0" customFormat="1" ht="18.75" customHeight="1" hidden="1">
      <c r="A37" s="206"/>
      <c r="B37" s="207" t="s">
        <v>122</v>
      </c>
      <c r="C37" s="201"/>
      <c r="D37" s="198">
        <f t="shared" si="1"/>
        <v>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8" customFormat="1" ht="18.75" customHeight="1" hidden="1">
      <c r="A38" s="206" t="s">
        <v>123</v>
      </c>
      <c r="B38" s="207" t="s">
        <v>101</v>
      </c>
      <c r="C38" s="201">
        <f>C29*23.1%</f>
        <v>0</v>
      </c>
      <c r="D38" s="198">
        <f t="shared" si="1"/>
        <v>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6" customFormat="1" ht="18.75" customHeight="1">
      <c r="A39" s="195" t="s">
        <v>112</v>
      </c>
      <c r="B39" s="196" t="s">
        <v>124</v>
      </c>
      <c r="C39" s="201">
        <f>'Расчет (углуб.изуч.)'!G27</f>
        <v>87751</v>
      </c>
      <c r="D39" s="198">
        <f t="shared" si="1"/>
        <v>6.648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6" customFormat="1" ht="20.25" customHeight="1" hidden="1">
      <c r="A40" s="195" t="s">
        <v>125</v>
      </c>
      <c r="B40" s="196" t="s">
        <v>126</v>
      </c>
      <c r="C40" s="201"/>
      <c r="D40" s="198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6" customFormat="1" ht="21" customHeight="1" hidden="1">
      <c r="A41" s="195" t="s">
        <v>127</v>
      </c>
      <c r="B41" s="196" t="s">
        <v>128</v>
      </c>
      <c r="C41" s="201"/>
      <c r="D41" s="198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1" customFormat="1" ht="15" customHeight="1">
      <c r="A42" s="195" t="s">
        <v>129</v>
      </c>
      <c r="B42" s="196" t="s">
        <v>168</v>
      </c>
      <c r="C42" s="201">
        <f>'Расчет (углуб.изуч.)'!G67</f>
        <v>221075</v>
      </c>
      <c r="D42" s="198">
        <f t="shared" si="1"/>
        <v>16.748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0" customFormat="1" ht="15" customHeight="1" hidden="1">
      <c r="A43" s="195" t="s">
        <v>130</v>
      </c>
      <c r="B43" s="196" t="s">
        <v>131</v>
      </c>
      <c r="C43" s="201"/>
      <c r="D43" s="198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8" customFormat="1" ht="15" customHeight="1">
      <c r="A44" s="195" t="s">
        <v>132</v>
      </c>
      <c r="B44" s="196" t="s">
        <v>169</v>
      </c>
      <c r="C44" s="201">
        <f>7792+1923</f>
        <v>9715</v>
      </c>
      <c r="D44" s="198">
        <f t="shared" si="1"/>
        <v>0.736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0" customFormat="1" ht="15" customHeight="1">
      <c r="A45" s="195" t="s">
        <v>133</v>
      </c>
      <c r="B45" s="196" t="s">
        <v>134</v>
      </c>
      <c r="C45" s="201">
        <f>'Расчет (углуб.изуч.)'!G49</f>
        <v>11408</v>
      </c>
      <c r="D45" s="204">
        <f t="shared" si="1"/>
        <v>0.86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6" customFormat="1" ht="15.75" customHeight="1" hidden="1">
      <c r="A46" s="195" t="s">
        <v>130</v>
      </c>
      <c r="B46" s="196" t="s">
        <v>135</v>
      </c>
      <c r="C46" s="201"/>
      <c r="D46" s="204">
        <f t="shared" si="1"/>
        <v>0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8" customFormat="1" ht="15" customHeight="1">
      <c r="A47" s="195" t="s">
        <v>171</v>
      </c>
      <c r="B47" s="196" t="s">
        <v>137</v>
      </c>
      <c r="C47" s="201">
        <f>'Расчет (углуб.изуч.)'!G47</f>
        <v>43875</v>
      </c>
      <c r="D47" s="204">
        <f t="shared" si="1"/>
        <v>3.32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8" customFormat="1" ht="15" customHeight="1">
      <c r="A48" s="190">
        <v>3</v>
      </c>
      <c r="B48" s="208" t="s">
        <v>138</v>
      </c>
      <c r="C48" s="192">
        <f>C16+C27</f>
        <v>877500</v>
      </c>
      <c r="D48" s="193" t="e">
        <f>D16+D27</f>
        <v>#REF!</v>
      </c>
      <c r="E48" s="308">
        <f>C48-'Расчет (углуб.изуч.)'!G18</f>
        <v>0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8" customFormat="1" ht="15" customHeight="1">
      <c r="A49" s="203"/>
      <c r="B49" s="196"/>
      <c r="C49" s="202"/>
      <c r="D49" s="204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0" customFormat="1" ht="15" customHeight="1">
      <c r="A50" s="203">
        <v>4</v>
      </c>
      <c r="B50" s="196" t="s">
        <v>139</v>
      </c>
      <c r="C50" s="201">
        <f>'Расчет (углуб.изуч.)'!E8</f>
        <v>260</v>
      </c>
      <c r="D50" s="204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5" customFormat="1" ht="15" customHeight="1">
      <c r="A51" s="203"/>
      <c r="B51" s="196"/>
      <c r="C51" s="202"/>
      <c r="D51" s="204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5" customFormat="1" ht="15" customHeight="1">
      <c r="A52" s="203">
        <v>5</v>
      </c>
      <c r="B52" s="196" t="s">
        <v>140</v>
      </c>
      <c r="C52" s="201">
        <f>'Расчет (углуб.изуч.)'!E11*'Расчет (углуб.изуч.)'!E9</f>
        <v>27</v>
      </c>
      <c r="D52" s="204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5" customFormat="1" ht="15" customHeight="1">
      <c r="A53" s="203"/>
      <c r="B53" s="196"/>
      <c r="C53" s="202"/>
      <c r="D53" s="204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5" customFormat="1" ht="15" customHeight="1">
      <c r="A54" s="190">
        <v>6</v>
      </c>
      <c r="B54" s="208" t="s">
        <v>141</v>
      </c>
      <c r="C54" s="209">
        <f>C48/C50/C52</f>
        <v>125</v>
      </c>
      <c r="D54" s="193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28" customFormat="1" ht="18.75" customHeight="1">
      <c r="A55"/>
      <c r="B55"/>
      <c r="C55" s="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21" customFormat="1" ht="15" customHeight="1">
      <c r="A56"/>
      <c r="B56"/>
      <c r="C56" s="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21" customFormat="1" ht="15" customHeight="1">
      <c r="A57" t="s">
        <v>142</v>
      </c>
      <c r="B57"/>
      <c r="C57" s="1" t="s">
        <v>84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8" customFormat="1" ht="15" customHeight="1">
      <c r="A58"/>
      <c r="B58"/>
      <c r="C58" s="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8" customFormat="1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6" customFormat="1" ht="15" customHeight="1">
      <c r="A60"/>
      <c r="B60"/>
      <c r="C60" s="229"/>
      <c r="D60"/>
      <c r="E60" s="229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1" customFormat="1" ht="1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21" customFormat="1" ht="1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8" customFormat="1" ht="1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8" customFormat="1" ht="1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8" customFormat="1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8" customFormat="1" ht="1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8" customFormat="1" ht="1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8" customFormat="1" ht="1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8" customFormat="1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8" customFormat="1" ht="1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0" customFormat="1" ht="1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</sheetData>
  <sheetProtection/>
  <mergeCells count="2">
    <mergeCell ref="A13:E13"/>
    <mergeCell ref="B14:D1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F20"/>
  <sheetViews>
    <sheetView zoomScalePageLayoutView="0" workbookViewId="0" topLeftCell="A19">
      <selection activeCell="A4" sqref="A4:E23"/>
    </sheetView>
  </sheetViews>
  <sheetFormatPr defaultColWidth="9.00390625" defaultRowHeight="12.75"/>
  <cols>
    <col min="3" max="3" width="42.375" style="0" customWidth="1"/>
    <col min="4" max="4" width="16.00390625" style="0" customWidth="1"/>
    <col min="5" max="5" width="9.625" style="0" bestFit="1" customWidth="1"/>
  </cols>
  <sheetData>
    <row r="1" ht="12.75">
      <c r="D1" s="1"/>
    </row>
    <row r="2" spans="2:4" ht="14.25">
      <c r="B2" s="317" t="s">
        <v>146</v>
      </c>
      <c r="C2" s="317"/>
      <c r="D2" s="317"/>
    </row>
    <row r="3" spans="2:4" ht="14.25">
      <c r="B3" s="317" t="s">
        <v>145</v>
      </c>
      <c r="C3" s="317"/>
      <c r="D3" s="317"/>
    </row>
    <row r="4" spans="3:4" ht="12.75">
      <c r="C4" s="210"/>
      <c r="D4" s="1"/>
    </row>
    <row r="5" spans="2:4" ht="12.75">
      <c r="B5" s="318" t="s">
        <v>147</v>
      </c>
      <c r="C5" s="318"/>
      <c r="D5" s="318"/>
    </row>
    <row r="6" spans="2:4" ht="15.75">
      <c r="B6" s="211"/>
      <c r="C6" s="212" t="s">
        <v>164</v>
      </c>
      <c r="D6" s="213"/>
    </row>
    <row r="7" spans="3:4" ht="12.75">
      <c r="C7" s="214"/>
      <c r="D7" s="215"/>
    </row>
    <row r="8" spans="2:4" ht="12.75">
      <c r="B8" s="189" t="s">
        <v>148</v>
      </c>
      <c r="C8" s="187" t="s">
        <v>149</v>
      </c>
      <c r="D8" s="188" t="s">
        <v>150</v>
      </c>
    </row>
    <row r="9" spans="2:6" ht="19.5" customHeight="1">
      <c r="B9" s="216">
        <v>1</v>
      </c>
      <c r="C9" s="217" t="s">
        <v>151</v>
      </c>
      <c r="D9" s="218">
        <f>((1000*25)+(33000*0.2)+5000)/29.3*33</f>
        <v>41221.84</v>
      </c>
      <c r="F9" s="194"/>
    </row>
    <row r="10" spans="2:4" ht="25.5">
      <c r="B10" s="216">
        <v>2</v>
      </c>
      <c r="C10" s="219" t="s">
        <v>152</v>
      </c>
      <c r="D10" s="220">
        <f>D9*30.2%</f>
        <v>12449</v>
      </c>
    </row>
    <row r="11" spans="2:4" ht="24" customHeight="1">
      <c r="B11" s="216">
        <v>3</v>
      </c>
      <c r="C11" s="219" t="s">
        <v>153</v>
      </c>
      <c r="D11" s="220"/>
    </row>
    <row r="12" spans="2:4" ht="44.25" customHeight="1">
      <c r="B12" s="216">
        <v>4</v>
      </c>
      <c r="C12" s="219" t="s">
        <v>154</v>
      </c>
      <c r="D12" s="220">
        <f>D9+D10-D11</f>
        <v>53670.84</v>
      </c>
    </row>
    <row r="13" spans="2:4" ht="36" customHeight="1">
      <c r="B13" s="216">
        <v>5</v>
      </c>
      <c r="C13" s="219" t="s">
        <v>155</v>
      </c>
      <c r="D13" s="221">
        <f>((1000*25)+(33000*0.2)+5000)*6.75</f>
        <v>247050</v>
      </c>
    </row>
    <row r="14" spans="2:6" ht="39.75" customHeight="1">
      <c r="B14" s="216">
        <v>6</v>
      </c>
      <c r="C14" s="219" t="s">
        <v>156</v>
      </c>
      <c r="D14" s="220">
        <f>D13*30.2%</f>
        <v>74609.1</v>
      </c>
      <c r="E14" s="194"/>
      <c r="F14" s="194"/>
    </row>
    <row r="15" spans="2:4" ht="53.25" customHeight="1">
      <c r="B15" s="216">
        <v>7</v>
      </c>
      <c r="C15" s="219" t="s">
        <v>157</v>
      </c>
      <c r="D15" s="220">
        <f>D13+D14</f>
        <v>321659.1</v>
      </c>
    </row>
    <row r="16" spans="2:4" ht="39.75" customHeight="1">
      <c r="B16" s="216">
        <v>8</v>
      </c>
      <c r="C16" s="219" t="s">
        <v>158</v>
      </c>
      <c r="D16" s="222">
        <f>D12/D15</f>
        <v>0.166856</v>
      </c>
    </row>
    <row r="17" spans="2:4" ht="54" customHeight="1">
      <c r="B17" s="216">
        <v>9</v>
      </c>
      <c r="C17" s="219" t="s">
        <v>159</v>
      </c>
      <c r="D17" s="223" t="s">
        <v>160</v>
      </c>
    </row>
    <row r="18" ht="12.75">
      <c r="D18" s="1"/>
    </row>
    <row r="19" ht="12.75">
      <c r="D19" s="1"/>
    </row>
    <row r="20" spans="2:4" ht="12.75">
      <c r="B20" t="s">
        <v>142</v>
      </c>
      <c r="D20" s="1" t="s">
        <v>161</v>
      </c>
    </row>
  </sheetData>
  <sheetProtection/>
  <mergeCells count="3">
    <mergeCell ref="B2:D2"/>
    <mergeCell ref="B3:D3"/>
    <mergeCell ref="B5:D5"/>
  </mergeCells>
  <printOptions/>
  <pageMargins left="0.7" right="0.7" top="0.75" bottom="0.75" header="0.3" footer="0.3"/>
  <pageSetup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V87"/>
  <sheetViews>
    <sheetView zoomScale="75" zoomScaleNormal="75" zoomScalePageLayoutView="0" workbookViewId="0" topLeftCell="A1">
      <selection activeCell="K76" sqref="A1:L76"/>
    </sheetView>
  </sheetViews>
  <sheetFormatPr defaultColWidth="9.00390625" defaultRowHeight="12.75"/>
  <cols>
    <col min="1" max="1" width="0.74609375" style="1" customWidth="1"/>
    <col min="2" max="2" width="10.375" style="1" customWidth="1"/>
    <col min="3" max="3" width="11.00390625" style="1" customWidth="1"/>
    <col min="4" max="4" width="14.875" style="1" customWidth="1"/>
    <col min="5" max="5" width="11.375" style="1" customWidth="1"/>
    <col min="6" max="6" width="18.375" style="1" customWidth="1"/>
    <col min="7" max="7" width="17.00390625" style="1" customWidth="1"/>
    <col min="8" max="9" width="13.625" style="1" customWidth="1"/>
    <col min="10" max="10" width="12.875" style="1" customWidth="1"/>
    <col min="11" max="11" width="14.75390625" style="1" customWidth="1"/>
    <col min="12" max="12" width="11.375" style="1" hidden="1" customWidth="1"/>
    <col min="13" max="13" width="11.00390625" style="1" bestFit="1" customWidth="1"/>
    <col min="14" max="14" width="11.25390625" style="1" customWidth="1"/>
    <col min="15" max="15" width="12.375" style="1" customWidth="1"/>
    <col min="16" max="16" width="11.75390625" style="1" customWidth="1"/>
    <col min="17" max="17" width="12.75390625" style="1" customWidth="1"/>
    <col min="18" max="18" width="11.875" style="1" customWidth="1"/>
    <col min="19" max="19" width="14.75390625" style="1" hidden="1" customWidth="1"/>
    <col min="20" max="20" width="13.875" style="1" customWidth="1"/>
    <col min="21" max="16384" width="9.125" style="1" customWidth="1"/>
  </cols>
  <sheetData>
    <row r="1" s="32" customFormat="1" ht="12.75" customHeight="1"/>
    <row r="2" spans="2:21" s="33" customFormat="1" ht="16.5" customHeight="1">
      <c r="B2" s="312" t="s">
        <v>86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4"/>
      <c r="N2" s="34"/>
      <c r="O2" s="34"/>
      <c r="P2" s="34"/>
      <c r="Q2" s="34"/>
      <c r="R2" s="34"/>
      <c r="S2" s="34"/>
      <c r="T2" s="34"/>
      <c r="U2" s="34"/>
    </row>
    <row r="3" spans="2:21" s="33" customFormat="1" ht="16.5" customHeight="1">
      <c r="B3" s="34"/>
      <c r="C3" s="36"/>
      <c r="D3" s="35" t="s">
        <v>87</v>
      </c>
      <c r="E3" s="37"/>
      <c r="F3" s="37"/>
      <c r="G3" s="37"/>
      <c r="H3" s="37"/>
      <c r="I3" s="38"/>
      <c r="J3" s="38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10" s="32" customFormat="1" ht="16.5" customHeight="1">
      <c r="B4" s="32" t="s">
        <v>28</v>
      </c>
      <c r="D4" s="40" t="s">
        <v>79</v>
      </c>
      <c r="G4" s="41"/>
      <c r="I4" s="4"/>
      <c r="J4" s="4"/>
    </row>
    <row r="5" s="32" customFormat="1" ht="12.75" customHeight="1"/>
    <row r="6" spans="2:13" s="39" customFormat="1" ht="18" customHeight="1">
      <c r="B6" s="35"/>
      <c r="E6" s="39" t="s">
        <v>163</v>
      </c>
      <c r="M6" s="32"/>
    </row>
    <row r="7" s="32" customFormat="1" ht="14.25" customHeight="1" thickBot="1"/>
    <row r="8" spans="2:6" s="32" customFormat="1" ht="18" customHeight="1" hidden="1">
      <c r="B8" s="32" t="s">
        <v>53</v>
      </c>
      <c r="E8" s="121">
        <v>48</v>
      </c>
      <c r="F8" s="62"/>
    </row>
    <row r="9" spans="2:6" s="32" customFormat="1" ht="18" customHeight="1" hidden="1">
      <c r="B9" s="32" t="s">
        <v>61</v>
      </c>
      <c r="E9" s="167">
        <v>4</v>
      </c>
      <c r="F9" s="62"/>
    </row>
    <row r="10" spans="2:6" s="32" customFormat="1" ht="18" customHeight="1" hidden="1">
      <c r="B10" s="32" t="s">
        <v>54</v>
      </c>
      <c r="E10" s="167">
        <v>2</v>
      </c>
      <c r="F10" s="62"/>
    </row>
    <row r="11" spans="2:6" s="32" customFormat="1" ht="18" customHeight="1" hidden="1">
      <c r="B11" s="32" t="s">
        <v>62</v>
      </c>
      <c r="E11" s="121">
        <f>+G12*4</f>
        <v>27</v>
      </c>
      <c r="F11" s="62"/>
    </row>
    <row r="12" spans="2:11" s="32" customFormat="1" ht="18" customHeight="1" hidden="1">
      <c r="B12" s="32" t="s">
        <v>55</v>
      </c>
      <c r="E12" s="121">
        <f>E11*E9*E10</f>
        <v>216</v>
      </c>
      <c r="F12" s="81" t="s">
        <v>70</v>
      </c>
      <c r="G12" s="42">
        <f>H12+I12+K12</f>
        <v>6.75</v>
      </c>
      <c r="H12" s="42">
        <f>11/4</f>
        <v>2.75</v>
      </c>
      <c r="I12" s="42">
        <f>4/4</f>
        <v>1</v>
      </c>
      <c r="J12" s="42"/>
      <c r="K12" s="42">
        <f>12/4</f>
        <v>3</v>
      </c>
    </row>
    <row r="13" spans="2:6" s="32" customFormat="1" ht="18" customHeight="1" hidden="1">
      <c r="B13" s="32" t="s">
        <v>56</v>
      </c>
      <c r="E13" s="181">
        <v>100</v>
      </c>
      <c r="F13" s="32" t="s">
        <v>23</v>
      </c>
    </row>
    <row r="14" spans="2:5" s="32" customFormat="1" ht="21" customHeight="1" hidden="1">
      <c r="B14" s="32" t="s">
        <v>63</v>
      </c>
      <c r="E14" s="121">
        <f>E9*E11*E13</f>
        <v>10800</v>
      </c>
    </row>
    <row r="15" spans="1:12" s="32" customFormat="1" ht="18" customHeight="1" hidden="1">
      <c r="A15" s="4"/>
      <c r="B15" s="4" t="s">
        <v>64</v>
      </c>
      <c r="C15" s="63"/>
      <c r="D15" s="63"/>
      <c r="E15" s="122">
        <f>E14*E8</f>
        <v>518400</v>
      </c>
      <c r="F15" s="63"/>
      <c r="L15" s="32" t="s">
        <v>0</v>
      </c>
    </row>
    <row r="16" spans="1:12" s="32" customFormat="1" ht="18" customHeight="1">
      <c r="A16" s="230"/>
      <c r="B16" s="251" t="s">
        <v>30</v>
      </c>
      <c r="C16" s="252"/>
      <c r="D16" s="252"/>
      <c r="E16" s="252"/>
      <c r="F16" s="253"/>
      <c r="G16" s="254"/>
      <c r="H16" s="320" t="s">
        <v>88</v>
      </c>
      <c r="I16" s="321"/>
      <c r="J16" s="322"/>
      <c r="K16" s="255" t="s">
        <v>85</v>
      </c>
      <c r="L16" s="165" t="s">
        <v>51</v>
      </c>
    </row>
    <row r="17" spans="1:12" s="32" customFormat="1" ht="18" customHeight="1">
      <c r="A17" s="9"/>
      <c r="B17" s="256"/>
      <c r="C17" s="66" t="s">
        <v>57</v>
      </c>
      <c r="D17" s="4"/>
      <c r="E17" s="4"/>
      <c r="F17" s="152"/>
      <c r="G17" s="43"/>
      <c r="H17" s="42" t="s">
        <v>31</v>
      </c>
      <c r="I17" s="42" t="s">
        <v>32</v>
      </c>
      <c r="J17" s="42" t="s">
        <v>33</v>
      </c>
      <c r="K17" s="257" t="s">
        <v>34</v>
      </c>
      <c r="L17" s="240" t="s">
        <v>52</v>
      </c>
    </row>
    <row r="18" spans="1:12" s="45" customFormat="1" ht="30" customHeight="1">
      <c r="A18" s="231"/>
      <c r="B18" s="258"/>
      <c r="C18" s="47"/>
      <c r="D18" s="47"/>
      <c r="E18" s="47"/>
      <c r="F18" s="163"/>
      <c r="G18" s="95">
        <f>H18+I18+K18</f>
        <v>1395900</v>
      </c>
      <c r="H18" s="96">
        <f>'Расчет (предшк.подготовка)'!H18+'Расчет (углуб.изуч.)'!H18</f>
        <v>568700</v>
      </c>
      <c r="I18" s="96">
        <f>'Расчет (предшк.подготовка)'!I18+'Расчет (углуб.изуч.)'!I18</f>
        <v>206800</v>
      </c>
      <c r="J18" s="96">
        <f>'Расчет (предшк.подготовка)'!J18+'Расчет (углуб.изуч.)'!J18</f>
        <v>0</v>
      </c>
      <c r="K18" s="259">
        <f>'Расчет (предшк.подготовка)'!K18+'Расчет (углуб.изуч.)'!K18</f>
        <v>620400</v>
      </c>
      <c r="L18" s="241">
        <f>E13</f>
        <v>100</v>
      </c>
    </row>
    <row r="19" spans="1:13" s="32" customFormat="1" ht="24.75" customHeight="1">
      <c r="A19" s="9"/>
      <c r="B19" s="260" t="s">
        <v>74</v>
      </c>
      <c r="C19" s="43"/>
      <c r="D19" s="43"/>
      <c r="E19" s="43"/>
      <c r="F19" s="43"/>
      <c r="G19" s="129"/>
      <c r="H19" s="129"/>
      <c r="I19" s="129"/>
      <c r="J19" s="129"/>
      <c r="K19" s="261"/>
      <c r="L19" s="242"/>
      <c r="M19" s="45"/>
    </row>
    <row r="20" spans="1:13" s="32" customFormat="1" ht="19.5" customHeight="1">
      <c r="A20" s="9"/>
      <c r="B20" s="262"/>
      <c r="C20" s="68"/>
      <c r="D20" s="68"/>
      <c r="E20" s="68"/>
      <c r="F20" s="69"/>
      <c r="G20" s="97">
        <f aca="true" t="shared" si="0" ref="G20:G31">SUM(H20:K20)</f>
        <v>803844</v>
      </c>
      <c r="H20" s="97">
        <f>H21+H23</f>
        <v>327492</v>
      </c>
      <c r="I20" s="97">
        <f>I21+I23</f>
        <v>119088</v>
      </c>
      <c r="J20" s="97"/>
      <c r="K20" s="263">
        <f>K21+K23</f>
        <v>357264</v>
      </c>
      <c r="L20" s="243">
        <f aca="true" t="shared" si="1" ref="L20:L71">(G20/8*$L$18)/($G$18/8)</f>
        <v>57.59</v>
      </c>
      <c r="M20" s="78">
        <f>G20/G18</f>
        <v>0.58</v>
      </c>
    </row>
    <row r="21" spans="1:13" s="32" customFormat="1" ht="17.25" customHeight="1">
      <c r="A21" s="9" t="s">
        <v>35</v>
      </c>
      <c r="B21" s="264" t="s">
        <v>36</v>
      </c>
      <c r="C21" s="14"/>
      <c r="D21" s="14"/>
      <c r="E21" s="14"/>
      <c r="F21" s="24"/>
      <c r="G21" s="98">
        <f t="shared" si="0"/>
        <v>617391</v>
      </c>
      <c r="H21" s="98">
        <f>'Расчет (предшк.подготовка)'!H21+'Расчет (углуб.изуч.)'!H21</f>
        <v>251530</v>
      </c>
      <c r="I21" s="98">
        <f>'Расчет (предшк.подготовка)'!I21+'Расчет (углуб.изуч.)'!I21</f>
        <v>91465</v>
      </c>
      <c r="J21" s="98">
        <f>'Расчет (предшк.подготовка)'!J21+'Расчет (углуб.изуч.)'!J21</f>
        <v>0</v>
      </c>
      <c r="K21" s="265">
        <f>'Расчет (предшк.подготовка)'!K21+'Расчет (углуб.изуч.)'!K21</f>
        <v>274396</v>
      </c>
      <c r="L21" s="244">
        <f t="shared" si="1"/>
        <v>44.23</v>
      </c>
      <c r="M21" s="78"/>
    </row>
    <row r="22" spans="1:13" s="32" customFormat="1" ht="17.25" customHeight="1">
      <c r="A22" s="232" t="s">
        <v>29</v>
      </c>
      <c r="B22" s="264" t="s">
        <v>37</v>
      </c>
      <c r="C22" s="14"/>
      <c r="D22" s="14"/>
      <c r="E22" s="14"/>
      <c r="F22" s="24"/>
      <c r="G22" s="99">
        <f t="shared" si="0"/>
        <v>0</v>
      </c>
      <c r="H22" s="99"/>
      <c r="I22" s="99"/>
      <c r="J22" s="99"/>
      <c r="K22" s="266"/>
      <c r="L22" s="245">
        <f t="shared" si="1"/>
        <v>0</v>
      </c>
      <c r="M22" s="45"/>
    </row>
    <row r="23" spans="1:13" s="32" customFormat="1" ht="17.25" customHeight="1">
      <c r="A23" s="232" t="s">
        <v>29</v>
      </c>
      <c r="B23" s="267" t="s">
        <v>38</v>
      </c>
      <c r="C23" s="73"/>
      <c r="D23" s="73"/>
      <c r="E23" s="73"/>
      <c r="F23" s="140"/>
      <c r="G23" s="100">
        <f t="shared" si="0"/>
        <v>186453</v>
      </c>
      <c r="H23" s="100">
        <f>'Расчет (предшк.подготовка)'!H23+'Расчет (углуб.изуч.)'!H23</f>
        <v>75962</v>
      </c>
      <c r="I23" s="100">
        <f>'Расчет (предшк.подготовка)'!I23+'Расчет (углуб.изуч.)'!I23</f>
        <v>27623</v>
      </c>
      <c r="J23" s="100">
        <f>'Расчет (предшк.подготовка)'!J23+'Расчет (углуб.изуч.)'!J23</f>
        <v>0</v>
      </c>
      <c r="K23" s="268">
        <f>'Расчет (предшк.подготовка)'!K23+'Расчет (углуб.изуч.)'!K23</f>
        <v>82868</v>
      </c>
      <c r="L23" s="115">
        <f>L21*30.2%</f>
        <v>13</v>
      </c>
      <c r="M23" s="78"/>
    </row>
    <row r="24" spans="1:19" s="5" customFormat="1" ht="20.25">
      <c r="A24" s="233"/>
      <c r="B24" s="269" t="s">
        <v>75</v>
      </c>
      <c r="C24" s="59"/>
      <c r="D24" s="59"/>
      <c r="E24" s="59"/>
      <c r="F24" s="141"/>
      <c r="G24" s="97">
        <f>SUM(H24:K24)</f>
        <v>227533</v>
      </c>
      <c r="H24" s="166">
        <f>H25+H26+H27+H40+H41+H46</f>
        <v>92700</v>
      </c>
      <c r="I24" s="166">
        <f>I25+I26+I27+I40+I41+I46</f>
        <v>33708</v>
      </c>
      <c r="J24" s="166">
        <f>J25+J26+J27+J40+J41+J46</f>
        <v>0</v>
      </c>
      <c r="K24" s="270">
        <f>K25+K26+K27+K40+K41+K46</f>
        <v>101125</v>
      </c>
      <c r="L24" s="243">
        <f t="shared" si="1"/>
        <v>16.3</v>
      </c>
      <c r="M24" s="79"/>
      <c r="N24" s="170">
        <f>G48/G18</f>
        <v>0</v>
      </c>
      <c r="P24" s="169"/>
      <c r="Q24" s="169"/>
      <c r="R24" s="169"/>
      <c r="S24" s="32"/>
    </row>
    <row r="25" spans="1:19" s="6" customFormat="1" ht="17.25" customHeight="1">
      <c r="A25" s="234"/>
      <c r="B25" s="271" t="s">
        <v>39</v>
      </c>
      <c r="C25" s="7"/>
      <c r="D25" s="7"/>
      <c r="E25" s="7"/>
      <c r="F25" s="142"/>
      <c r="G25" s="101">
        <f t="shared" si="0"/>
        <v>0</v>
      </c>
      <c r="H25" s="101"/>
      <c r="I25" s="101"/>
      <c r="J25" s="101"/>
      <c r="K25" s="272"/>
      <c r="L25" s="243">
        <f t="shared" si="1"/>
        <v>0</v>
      </c>
      <c r="M25" s="45"/>
      <c r="O25" s="5"/>
      <c r="P25" s="169"/>
      <c r="Q25" s="169"/>
      <c r="R25" s="169"/>
      <c r="S25" s="32"/>
    </row>
    <row r="26" spans="1:13" s="6" customFormat="1" ht="17.25" customHeight="1">
      <c r="A26" s="234"/>
      <c r="B26" s="271" t="s">
        <v>40</v>
      </c>
      <c r="C26" s="7"/>
      <c r="D26" s="7"/>
      <c r="E26" s="7"/>
      <c r="F26" s="142"/>
      <c r="G26" s="101">
        <f t="shared" si="0"/>
        <v>0</v>
      </c>
      <c r="H26" s="101"/>
      <c r="I26" s="102"/>
      <c r="J26" s="102"/>
      <c r="K26" s="273"/>
      <c r="L26" s="243">
        <f t="shared" si="1"/>
        <v>0</v>
      </c>
      <c r="M26" s="45"/>
    </row>
    <row r="27" spans="1:14" s="6" customFormat="1" ht="18" customHeight="1">
      <c r="A27" s="234"/>
      <c r="B27" s="274" t="s">
        <v>58</v>
      </c>
      <c r="C27" s="20"/>
      <c r="D27" s="20"/>
      <c r="E27" s="20"/>
      <c r="F27" s="143"/>
      <c r="G27" s="101">
        <f>SUM(H27:K27)</f>
        <v>139591</v>
      </c>
      <c r="H27" s="101">
        <f>H28+H31+H35</f>
        <v>56871</v>
      </c>
      <c r="I27" s="101">
        <f>I28+I31+I35</f>
        <v>20680</v>
      </c>
      <c r="J27" s="101">
        <f>J28+J31+J35</f>
        <v>0</v>
      </c>
      <c r="K27" s="272">
        <f>K28+K31+K35</f>
        <v>62040</v>
      </c>
      <c r="L27" s="243">
        <f t="shared" si="1"/>
        <v>10</v>
      </c>
      <c r="M27" s="78"/>
      <c r="N27" s="75"/>
    </row>
    <row r="28" spans="1:14" s="8" customFormat="1" ht="18.75">
      <c r="A28" s="235"/>
      <c r="B28" s="275" t="s">
        <v>1</v>
      </c>
      <c r="C28" s="23"/>
      <c r="D28" s="23"/>
      <c r="E28" s="23"/>
      <c r="F28" s="144"/>
      <c r="G28" s="103">
        <f t="shared" si="0"/>
        <v>90734</v>
      </c>
      <c r="H28" s="103">
        <f>'Расчет (предшк.подготовка)'!H28+'Расчет (углуб.изуч.)'!H28</f>
        <v>36966</v>
      </c>
      <c r="I28" s="103">
        <f>'Расчет (предшк.подготовка)'!I28+'Расчет (углуб.изуч.)'!I28</f>
        <v>13442</v>
      </c>
      <c r="J28" s="103">
        <f>'Расчет (предшк.подготовка)'!J28+'Расчет (углуб.изуч.)'!J28</f>
        <v>0</v>
      </c>
      <c r="K28" s="276">
        <f>'Расчет (предшк.подготовка)'!K28+'Расчет (углуб.изуч.)'!K28</f>
        <v>40326</v>
      </c>
      <c r="L28" s="244">
        <f t="shared" si="1"/>
        <v>6.5</v>
      </c>
      <c r="M28" s="78"/>
      <c r="N28" s="76"/>
    </row>
    <row r="29" spans="1:14" s="10" customFormat="1" ht="18.75" hidden="1">
      <c r="A29" s="236"/>
      <c r="B29" s="277" t="s">
        <v>2</v>
      </c>
      <c r="C29" s="12"/>
      <c r="D29" s="12" t="s">
        <v>3</v>
      </c>
      <c r="E29" s="12"/>
      <c r="F29" s="145" t="s">
        <v>4</v>
      </c>
      <c r="G29" s="104">
        <f t="shared" si="0"/>
        <v>0</v>
      </c>
      <c r="H29" s="104"/>
      <c r="I29" s="104"/>
      <c r="J29" s="104"/>
      <c r="K29" s="278"/>
      <c r="L29" s="245">
        <f t="shared" si="1"/>
        <v>0</v>
      </c>
      <c r="M29" s="45"/>
      <c r="N29" s="77"/>
    </row>
    <row r="30" spans="1:14" s="10" customFormat="1" ht="18.75" hidden="1">
      <c r="A30" s="236"/>
      <c r="B30" s="279" t="s">
        <v>5</v>
      </c>
      <c r="C30" s="17">
        <f>C29</f>
        <v>0</v>
      </c>
      <c r="D30" s="17" t="s">
        <v>6</v>
      </c>
      <c r="E30" s="17"/>
      <c r="F30" s="146"/>
      <c r="G30" s="104">
        <f t="shared" si="0"/>
        <v>0</v>
      </c>
      <c r="H30" s="104"/>
      <c r="I30" s="104"/>
      <c r="J30" s="104"/>
      <c r="K30" s="278"/>
      <c r="L30" s="245">
        <f t="shared" si="1"/>
        <v>0</v>
      </c>
      <c r="M30" s="45"/>
      <c r="N30" s="77"/>
    </row>
    <row r="31" spans="1:14" s="8" customFormat="1" ht="18.75">
      <c r="A31" s="235"/>
      <c r="B31" s="280" t="s">
        <v>7</v>
      </c>
      <c r="C31" s="14"/>
      <c r="D31" s="14"/>
      <c r="E31" s="14"/>
      <c r="F31" s="147"/>
      <c r="G31" s="105">
        <f t="shared" si="0"/>
        <v>29314</v>
      </c>
      <c r="H31" s="105">
        <f>'Расчет (предшк.подготовка)'!H31+'Расчет (углуб.изуч.)'!H31</f>
        <v>11943</v>
      </c>
      <c r="I31" s="105">
        <f>'Расчет (предшк.подготовка)'!I31+'Расчет (углуб.изуч.)'!I31</f>
        <v>4343</v>
      </c>
      <c r="J31" s="105">
        <f>'Расчет (предшк.подготовка)'!J31+'Расчет (углуб.изуч.)'!J31</f>
        <v>0</v>
      </c>
      <c r="K31" s="281">
        <f>'Расчет (предшк.подготовка)'!K31+'Расчет (углуб.изуч.)'!K31</f>
        <v>13028</v>
      </c>
      <c r="L31" s="245">
        <f t="shared" si="1"/>
        <v>2.1</v>
      </c>
      <c r="M31" s="78"/>
      <c r="N31" s="76"/>
    </row>
    <row r="32" spans="1:14" s="10" customFormat="1" ht="18.75" hidden="1">
      <c r="A32" s="236"/>
      <c r="B32" s="282"/>
      <c r="C32" s="12"/>
      <c r="D32" s="12">
        <f>1.44*24*3</f>
        <v>103.68</v>
      </c>
      <c r="E32" s="12" t="s">
        <v>67</v>
      </c>
      <c r="F32" s="148"/>
      <c r="G32" s="135"/>
      <c r="H32" s="104"/>
      <c r="I32" s="104"/>
      <c r="J32" s="104"/>
      <c r="K32" s="278"/>
      <c r="L32" s="245">
        <f t="shared" si="1"/>
        <v>0</v>
      </c>
      <c r="M32" s="45"/>
      <c r="N32" s="77"/>
    </row>
    <row r="33" spans="1:14" s="10" customFormat="1" ht="18.75" hidden="1">
      <c r="A33" s="236"/>
      <c r="B33" s="282" t="s">
        <v>48</v>
      </c>
      <c r="C33" s="149"/>
      <c r="D33" s="12"/>
      <c r="E33" s="12"/>
      <c r="F33" s="145"/>
      <c r="G33" s="104"/>
      <c r="H33" s="104"/>
      <c r="I33" s="104"/>
      <c r="J33" s="104"/>
      <c r="K33" s="278"/>
      <c r="L33" s="245">
        <f t="shared" si="1"/>
        <v>0</v>
      </c>
      <c r="M33" s="45"/>
      <c r="N33" s="77"/>
    </row>
    <row r="34" spans="1:14" s="10" customFormat="1" ht="18.75" hidden="1">
      <c r="A34" s="236"/>
      <c r="B34" s="274"/>
      <c r="C34" s="12" t="s">
        <v>49</v>
      </c>
      <c r="D34" s="12"/>
      <c r="E34" s="12"/>
      <c r="F34" s="150"/>
      <c r="G34" s="104" t="s">
        <v>50</v>
      </c>
      <c r="H34" s="104"/>
      <c r="I34" s="104"/>
      <c r="J34" s="104"/>
      <c r="K34" s="278"/>
      <c r="L34" s="245" t="e">
        <f t="shared" si="1"/>
        <v>#VALUE!</v>
      </c>
      <c r="M34" s="45"/>
      <c r="N34" s="77"/>
    </row>
    <row r="35" spans="1:14" s="8" customFormat="1" ht="18.75">
      <c r="A35" s="235"/>
      <c r="B35" s="275" t="s">
        <v>8</v>
      </c>
      <c r="C35" s="14"/>
      <c r="D35" s="14"/>
      <c r="E35" s="14"/>
      <c r="F35" s="144"/>
      <c r="G35" s="106">
        <f>SUM(H35:K35)</f>
        <v>19543</v>
      </c>
      <c r="H35" s="106">
        <f>'Расчет (предшк.подготовка)'!H35+'Расчет (углуб.изуч.)'!H35</f>
        <v>7962</v>
      </c>
      <c r="I35" s="106">
        <f>'Расчет (предшк.подготовка)'!I35+'Расчет (углуб.изуч.)'!I35</f>
        <v>2895</v>
      </c>
      <c r="J35" s="106">
        <f>'Расчет (предшк.подготовка)'!J35+'Расчет (углуб.изуч.)'!J35</f>
        <v>0</v>
      </c>
      <c r="K35" s="283">
        <f>'Расчет (предшк.подготовка)'!K35+'Расчет (углуб.изуч.)'!K35</f>
        <v>8686</v>
      </c>
      <c r="L35" s="246">
        <f t="shared" si="1"/>
        <v>1.4</v>
      </c>
      <c r="M35" s="78"/>
      <c r="N35" s="76"/>
    </row>
    <row r="36" spans="1:13" s="10" customFormat="1" ht="18.75" hidden="1">
      <c r="A36" s="236"/>
      <c r="B36" s="282" t="s">
        <v>9</v>
      </c>
      <c r="C36" s="12"/>
      <c r="D36" s="12">
        <v>10.5</v>
      </c>
      <c r="E36" s="12" t="s">
        <v>65</v>
      </c>
      <c r="F36" s="151"/>
      <c r="G36" s="107"/>
      <c r="H36" s="107"/>
      <c r="I36" s="107"/>
      <c r="J36" s="107"/>
      <c r="K36" s="284"/>
      <c r="L36" s="247">
        <f t="shared" si="1"/>
        <v>0</v>
      </c>
      <c r="M36" s="78"/>
    </row>
    <row r="37" spans="1:13" s="10" customFormat="1" ht="18.75" hidden="1">
      <c r="A37" s="236"/>
      <c r="B37" s="282" t="s">
        <v>10</v>
      </c>
      <c r="C37" s="12"/>
      <c r="D37" s="12">
        <v>14.5</v>
      </c>
      <c r="E37" s="12" t="s">
        <v>66</v>
      </c>
      <c r="F37" s="151"/>
      <c r="G37" s="107"/>
      <c r="H37" s="107"/>
      <c r="I37" s="107"/>
      <c r="J37" s="107"/>
      <c r="K37" s="284"/>
      <c r="L37" s="247">
        <f t="shared" si="1"/>
        <v>0</v>
      </c>
      <c r="M37" s="78"/>
    </row>
    <row r="38" spans="1:13" s="8" customFormat="1" ht="11.25" customHeight="1" hidden="1">
      <c r="A38" s="235"/>
      <c r="B38" s="285"/>
      <c r="C38" s="4"/>
      <c r="D38" s="4"/>
      <c r="E38" s="4"/>
      <c r="F38" s="152"/>
      <c r="G38" s="108"/>
      <c r="H38" s="108"/>
      <c r="I38" s="108"/>
      <c r="J38" s="109"/>
      <c r="K38" s="286"/>
      <c r="L38" s="247">
        <f t="shared" si="1"/>
        <v>0</v>
      </c>
      <c r="M38" s="78"/>
    </row>
    <row r="39" spans="1:13" s="6" customFormat="1" ht="18.75" customHeight="1" hidden="1">
      <c r="A39" s="234"/>
      <c r="B39" s="287" t="s">
        <v>41</v>
      </c>
      <c r="C39" s="7"/>
      <c r="D39" s="7"/>
      <c r="E39" s="7"/>
      <c r="F39" s="142"/>
      <c r="G39" s="110"/>
      <c r="H39" s="110"/>
      <c r="I39" s="110"/>
      <c r="J39" s="108"/>
      <c r="K39" s="288"/>
      <c r="L39" s="248">
        <f t="shared" si="1"/>
        <v>0</v>
      </c>
      <c r="M39" s="78"/>
    </row>
    <row r="40" spans="1:13" s="6" customFormat="1" ht="20.25" customHeight="1" hidden="1">
      <c r="A40" s="234"/>
      <c r="B40" s="289"/>
      <c r="C40" s="19"/>
      <c r="D40" s="19"/>
      <c r="E40" s="19"/>
      <c r="F40" s="153"/>
      <c r="G40" s="100">
        <f aca="true" t="shared" si="2" ref="G40:G50">SUM(H40:K40)</f>
        <v>0</v>
      </c>
      <c r="H40" s="111"/>
      <c r="I40" s="111"/>
      <c r="J40" s="111"/>
      <c r="K40" s="290"/>
      <c r="L40" s="246">
        <f t="shared" si="1"/>
        <v>0</v>
      </c>
      <c r="M40" s="78"/>
    </row>
    <row r="41" spans="1:13" s="6" customFormat="1" ht="21" customHeight="1" hidden="1">
      <c r="A41" s="234"/>
      <c r="B41" s="291" t="s">
        <v>42</v>
      </c>
      <c r="C41" s="20"/>
      <c r="D41" s="20"/>
      <c r="E41" s="20"/>
      <c r="F41" s="143"/>
      <c r="G41" s="101">
        <f t="shared" si="2"/>
        <v>0</v>
      </c>
      <c r="H41" s="101">
        <f>H42+H44+H45</f>
        <v>0</v>
      </c>
      <c r="I41" s="101">
        <f>I42+I44+I45</f>
        <v>0</v>
      </c>
      <c r="J41" s="101">
        <f>J42+J44+J45</f>
        <v>0</v>
      </c>
      <c r="K41" s="272">
        <f>K42+K44+K45</f>
        <v>0</v>
      </c>
      <c r="L41" s="243">
        <f t="shared" si="1"/>
        <v>0</v>
      </c>
      <c r="M41" s="78"/>
    </row>
    <row r="42" spans="1:13" s="21" customFormat="1" ht="15" customHeight="1" hidden="1">
      <c r="A42" s="237"/>
      <c r="B42" s="275" t="s">
        <v>11</v>
      </c>
      <c r="C42" s="23"/>
      <c r="D42" s="23"/>
      <c r="E42" s="23"/>
      <c r="F42" s="144"/>
      <c r="G42" s="112">
        <f t="shared" si="2"/>
        <v>0</v>
      </c>
      <c r="H42" s="112"/>
      <c r="I42" s="112"/>
      <c r="J42" s="112"/>
      <c r="K42" s="292"/>
      <c r="L42" s="249">
        <f t="shared" si="1"/>
        <v>0</v>
      </c>
      <c r="M42" s="78"/>
    </row>
    <row r="43" spans="1:13" s="10" customFormat="1" ht="15" customHeight="1" hidden="1">
      <c r="A43" s="236"/>
      <c r="B43" s="282" t="s">
        <v>12</v>
      </c>
      <c r="C43" s="12"/>
      <c r="D43" s="12"/>
      <c r="E43" s="12"/>
      <c r="F43" s="145" t="s">
        <v>13</v>
      </c>
      <c r="G43" s="105">
        <f t="shared" si="2"/>
        <v>0</v>
      </c>
      <c r="H43" s="104">
        <f>ROUND(E43*0.976*1.18,1)</f>
        <v>0</v>
      </c>
      <c r="I43" s="104">
        <f>ROUND(E43*0.976*1.18,1)</f>
        <v>0</v>
      </c>
      <c r="J43" s="104"/>
      <c r="K43" s="278"/>
      <c r="L43" s="245">
        <f t="shared" si="1"/>
        <v>0</v>
      </c>
      <c r="M43" s="45"/>
    </row>
    <row r="44" spans="1:13" s="8" customFormat="1" ht="15" customHeight="1" hidden="1">
      <c r="A44" s="235"/>
      <c r="B44" s="280" t="s">
        <v>73</v>
      </c>
      <c r="C44" s="14"/>
      <c r="D44" s="14"/>
      <c r="E44" s="14"/>
      <c r="F44" s="147"/>
      <c r="G44" s="105">
        <f t="shared" si="2"/>
        <v>0</v>
      </c>
      <c r="H44" s="105"/>
      <c r="I44" s="105"/>
      <c r="J44" s="105"/>
      <c r="K44" s="281"/>
      <c r="L44" s="245">
        <f t="shared" si="1"/>
        <v>0</v>
      </c>
      <c r="M44" s="45"/>
    </row>
    <row r="45" spans="1:13" s="10" customFormat="1" ht="15" customHeight="1" hidden="1">
      <c r="A45" s="236"/>
      <c r="B45" s="280" t="s">
        <v>14</v>
      </c>
      <c r="C45" s="25"/>
      <c r="D45" s="25"/>
      <c r="E45" s="25"/>
      <c r="F45" s="154"/>
      <c r="G45" s="106">
        <f t="shared" si="2"/>
        <v>0</v>
      </c>
      <c r="H45" s="106"/>
      <c r="I45" s="106"/>
      <c r="J45" s="106"/>
      <c r="K45" s="283"/>
      <c r="L45" s="246">
        <f t="shared" si="1"/>
        <v>0</v>
      </c>
      <c r="M45" s="45"/>
    </row>
    <row r="46" spans="1:22" s="6" customFormat="1" ht="15.75" customHeight="1">
      <c r="A46" s="234"/>
      <c r="B46" s="291" t="s">
        <v>43</v>
      </c>
      <c r="C46" s="20"/>
      <c r="D46" s="20"/>
      <c r="E46" s="20"/>
      <c r="F46" s="143"/>
      <c r="G46" s="101">
        <f t="shared" si="2"/>
        <v>87942</v>
      </c>
      <c r="H46" s="101">
        <f>SUM(H47:H50)</f>
        <v>35829</v>
      </c>
      <c r="I46" s="101">
        <f>SUM(I47:I50)</f>
        <v>13028</v>
      </c>
      <c r="J46" s="101">
        <f>SUM(J47:J50)</f>
        <v>0</v>
      </c>
      <c r="K46" s="272">
        <f>SUM(K47:K50)</f>
        <v>39085</v>
      </c>
      <c r="L46" s="243">
        <f t="shared" si="1"/>
        <v>6.3</v>
      </c>
      <c r="M46" s="45"/>
      <c r="O46" s="32"/>
      <c r="P46" s="32"/>
      <c r="Q46" s="32"/>
      <c r="R46" s="32"/>
      <c r="S46" s="32"/>
      <c r="T46" s="32"/>
      <c r="U46" s="32"/>
      <c r="V46" s="32"/>
    </row>
    <row r="47" spans="1:22" s="8" customFormat="1" ht="15" customHeight="1">
      <c r="A47" s="235"/>
      <c r="B47" s="275" t="s">
        <v>72</v>
      </c>
      <c r="C47" s="23"/>
      <c r="D47" s="23"/>
      <c r="E47" s="23"/>
      <c r="F47" s="125"/>
      <c r="G47" s="103">
        <f t="shared" si="2"/>
        <v>69795</v>
      </c>
      <c r="H47" s="103">
        <f>'Расчет (предшк.подготовка)'!H47+'Расчет (углуб.изуч.)'!H47</f>
        <v>28435</v>
      </c>
      <c r="I47" s="103">
        <f>'Расчет (предшк.подготовка)'!I47+'Расчет (углуб.изуч.)'!I47</f>
        <v>10340</v>
      </c>
      <c r="J47" s="103">
        <f>'Расчет (предшк.подготовка)'!J47+'Расчет (углуб.изуч.)'!J47</f>
        <v>0</v>
      </c>
      <c r="K47" s="276">
        <f>'Расчет (предшк.подготовка)'!K47+'Расчет (углуб.изуч.)'!K47</f>
        <v>31020</v>
      </c>
      <c r="L47" s="244">
        <f t="shared" si="1"/>
        <v>5</v>
      </c>
      <c r="M47" s="45"/>
      <c r="O47" s="32"/>
      <c r="P47" s="32"/>
      <c r="Q47" s="32"/>
      <c r="R47" s="32"/>
      <c r="S47" s="32"/>
      <c r="T47" s="32"/>
      <c r="U47" s="32"/>
      <c r="V47" s="32"/>
    </row>
    <row r="48" spans="1:22" s="8" customFormat="1" ht="15" customHeight="1">
      <c r="A48" s="235"/>
      <c r="B48" s="280" t="s">
        <v>71</v>
      </c>
      <c r="C48" s="14"/>
      <c r="D48" s="14"/>
      <c r="E48" s="14"/>
      <c r="F48" s="24"/>
      <c r="G48" s="105">
        <f>SUM(H48:K48)</f>
        <v>0</v>
      </c>
      <c r="H48" s="105"/>
      <c r="I48" s="105"/>
      <c r="J48" s="105"/>
      <c r="K48" s="281"/>
      <c r="L48" s="245">
        <f t="shared" si="1"/>
        <v>0</v>
      </c>
      <c r="M48" s="45"/>
      <c r="O48" s="5"/>
      <c r="P48" s="169"/>
      <c r="Q48" s="169"/>
      <c r="R48" s="169"/>
      <c r="S48" s="32"/>
      <c r="T48" s="5"/>
      <c r="U48" s="5"/>
      <c r="V48" s="5"/>
    </row>
    <row r="49" spans="1:22" s="8" customFormat="1" ht="15" customHeight="1">
      <c r="A49" s="235"/>
      <c r="B49" s="280" t="s">
        <v>83</v>
      </c>
      <c r="C49" s="14"/>
      <c r="D49" s="14"/>
      <c r="E49" s="14"/>
      <c r="F49" s="24"/>
      <c r="G49" s="176">
        <f>SUM(H49:K49)</f>
        <v>18147</v>
      </c>
      <c r="H49" s="103">
        <f>'Расчет (предшк.подготовка)'!H49+'Расчет (углуб.изуч.)'!H49</f>
        <v>7394</v>
      </c>
      <c r="I49" s="103">
        <f>'Расчет (предшк.подготовка)'!I49+'Расчет (углуб.изуч.)'!I49</f>
        <v>2688</v>
      </c>
      <c r="J49" s="103">
        <f>'Расчет (предшк.подготовка)'!J49+'Расчет (углуб.изуч.)'!J49</f>
        <v>0</v>
      </c>
      <c r="K49" s="276">
        <f>'Расчет (предшк.подготовка)'!K49+'Расчет (углуб.изуч.)'!K49</f>
        <v>8065</v>
      </c>
      <c r="L49" s="246">
        <f t="shared" si="1"/>
        <v>1.3</v>
      </c>
      <c r="M49" s="45"/>
      <c r="O49" s="5"/>
      <c r="P49" s="169"/>
      <c r="Q49" s="169"/>
      <c r="R49" s="169"/>
      <c r="S49" s="32"/>
      <c r="T49" s="6"/>
      <c r="U49" s="6"/>
      <c r="V49" s="6"/>
    </row>
    <row r="50" spans="1:22" s="10" customFormat="1" ht="15" customHeight="1">
      <c r="A50" s="236"/>
      <c r="B50" s="293" t="s">
        <v>80</v>
      </c>
      <c r="C50" s="173"/>
      <c r="D50" s="173"/>
      <c r="E50" s="27"/>
      <c r="F50" s="155"/>
      <c r="G50" s="106">
        <f t="shared" si="2"/>
        <v>0</v>
      </c>
      <c r="H50" s="106"/>
      <c r="I50" s="106"/>
      <c r="J50" s="106"/>
      <c r="K50" s="283"/>
      <c r="L50" s="247">
        <f t="shared" si="1"/>
        <v>0</v>
      </c>
      <c r="M50" s="45"/>
      <c r="O50" s="6"/>
      <c r="P50" s="6"/>
      <c r="Q50" s="6"/>
      <c r="R50" s="6"/>
      <c r="S50" s="6"/>
      <c r="T50" s="6"/>
      <c r="U50" s="6"/>
      <c r="V50" s="6"/>
    </row>
    <row r="51" spans="1:22" s="5" customFormat="1" ht="15" customHeight="1">
      <c r="A51" s="233"/>
      <c r="B51" s="294" t="s">
        <v>76</v>
      </c>
      <c r="C51" s="31"/>
      <c r="D51" s="31"/>
      <c r="E51" s="31"/>
      <c r="F51" s="156"/>
      <c r="G51" s="98"/>
      <c r="H51" s="98"/>
      <c r="I51" s="98"/>
      <c r="J51" s="98"/>
      <c r="K51" s="265"/>
      <c r="L51" s="244">
        <f t="shared" si="1"/>
        <v>0</v>
      </c>
      <c r="M51" s="45"/>
      <c r="O51" s="6"/>
      <c r="P51" s="6"/>
      <c r="Q51" s="6"/>
      <c r="R51" s="6"/>
      <c r="S51" s="6"/>
      <c r="T51" s="6"/>
      <c r="U51" s="6"/>
      <c r="V51" s="6"/>
    </row>
    <row r="52" spans="1:22" s="5" customFormat="1" ht="15" customHeight="1">
      <c r="A52" s="233"/>
      <c r="B52" s="295"/>
      <c r="C52" s="30"/>
      <c r="D52" s="30"/>
      <c r="E52" s="30"/>
      <c r="F52" s="157"/>
      <c r="G52" s="100"/>
      <c r="H52" s="100"/>
      <c r="I52" s="100"/>
      <c r="J52" s="100"/>
      <c r="K52" s="268"/>
      <c r="L52" s="246">
        <f t="shared" si="1"/>
        <v>0</v>
      </c>
      <c r="M52" s="45"/>
      <c r="O52" s="8"/>
      <c r="P52" s="8"/>
      <c r="Q52" s="8"/>
      <c r="R52" s="8"/>
      <c r="S52" s="8"/>
      <c r="T52" s="8"/>
      <c r="U52" s="8"/>
      <c r="V52" s="8"/>
    </row>
    <row r="53" spans="1:22" s="5" customFormat="1" ht="15" customHeight="1">
      <c r="A53" s="233"/>
      <c r="B53" s="294" t="s">
        <v>77</v>
      </c>
      <c r="C53" s="52"/>
      <c r="D53" s="52"/>
      <c r="E53" s="52"/>
      <c r="F53" s="158"/>
      <c r="G53" s="98"/>
      <c r="H53" s="98"/>
      <c r="I53" s="98"/>
      <c r="J53" s="98"/>
      <c r="K53" s="265"/>
      <c r="L53" s="244">
        <f t="shared" si="1"/>
        <v>0</v>
      </c>
      <c r="M53" s="45"/>
      <c r="O53" s="10"/>
      <c r="P53" s="10"/>
      <c r="Q53" s="10"/>
      <c r="R53" s="10"/>
      <c r="S53" s="10"/>
      <c r="T53" s="10"/>
      <c r="U53" s="10"/>
      <c r="V53" s="10"/>
    </row>
    <row r="54" spans="1:22" s="5" customFormat="1" ht="15" customHeight="1">
      <c r="A54" s="233"/>
      <c r="B54" s="296"/>
      <c r="C54" s="53"/>
      <c r="D54" s="53"/>
      <c r="E54" s="53"/>
      <c r="F54" s="159"/>
      <c r="G54" s="113">
        <f aca="true" t="shared" si="3" ref="G54:G71">SUM(H54:K54)</f>
        <v>364523</v>
      </c>
      <c r="H54" s="113">
        <f>H60+H55</f>
        <v>148508</v>
      </c>
      <c r="I54" s="113">
        <f>I60+I55</f>
        <v>54004</v>
      </c>
      <c r="J54" s="113">
        <f>J60+J55</f>
        <v>0</v>
      </c>
      <c r="K54" s="297">
        <f>K60+K55</f>
        <v>162011</v>
      </c>
      <c r="L54" s="246">
        <f t="shared" si="1"/>
        <v>26.11</v>
      </c>
      <c r="M54" s="78"/>
      <c r="O54" s="10"/>
      <c r="P54" s="10"/>
      <c r="Q54" s="10"/>
      <c r="R54" s="10"/>
      <c r="S54" s="10"/>
      <c r="T54" s="10"/>
      <c r="U54" s="10"/>
      <c r="V54" s="10"/>
    </row>
    <row r="55" spans="1:22" s="28" customFormat="1" ht="18.75" customHeight="1">
      <c r="A55" s="238"/>
      <c r="B55" s="274" t="s">
        <v>45</v>
      </c>
      <c r="C55" s="84"/>
      <c r="D55" s="84"/>
      <c r="E55" s="84"/>
      <c r="F55" s="160"/>
      <c r="G55" s="101">
        <f t="shared" si="3"/>
        <v>0</v>
      </c>
      <c r="H55" s="101">
        <f>SUM(H56:H59)</f>
        <v>0</v>
      </c>
      <c r="I55" s="101">
        <f>SUM(I56:I59)</f>
        <v>0</v>
      </c>
      <c r="J55" s="101">
        <f>SUM(J56:J59)</f>
        <v>0</v>
      </c>
      <c r="K55" s="272">
        <f>SUM(K56:K59)</f>
        <v>0</v>
      </c>
      <c r="L55" s="243">
        <f t="shared" si="1"/>
        <v>0</v>
      </c>
      <c r="M55" s="78"/>
      <c r="O55" s="8"/>
      <c r="P55" s="8"/>
      <c r="Q55" s="8"/>
      <c r="R55" s="8"/>
      <c r="S55" s="8"/>
      <c r="T55" s="8"/>
      <c r="U55" s="8"/>
      <c r="V55" s="8"/>
    </row>
    <row r="56" spans="1:13" s="21" customFormat="1" ht="15" customHeight="1">
      <c r="A56" s="237"/>
      <c r="B56" s="275" t="s">
        <v>59</v>
      </c>
      <c r="C56" s="23"/>
      <c r="D56" s="23"/>
      <c r="E56" s="23"/>
      <c r="F56" s="174"/>
      <c r="G56" s="103">
        <f t="shared" si="3"/>
        <v>0</v>
      </c>
      <c r="H56" s="114">
        <f>'Расчет (предшк.подготовка)'!H56+'Расчет (углуб.изуч.)'!H56</f>
        <v>0</v>
      </c>
      <c r="I56" s="114">
        <f>'Расчет (предшк.подготовка)'!I56+'Расчет (углуб.изуч.)'!I56</f>
        <v>0</v>
      </c>
      <c r="J56" s="114">
        <f>'Расчет (предшк.подготовка)'!J56+'Расчет (углуб.изуч.)'!J56</f>
        <v>0</v>
      </c>
      <c r="K56" s="298">
        <f>'Расчет (предшк.подготовка)'!K56+'Расчет (углуб.изуч.)'!K56</f>
        <v>0</v>
      </c>
      <c r="L56" s="244">
        <f t="shared" si="1"/>
        <v>0</v>
      </c>
      <c r="M56" s="78"/>
    </row>
    <row r="57" spans="1:13" s="21" customFormat="1" ht="15" customHeight="1">
      <c r="A57" s="237"/>
      <c r="B57" s="280" t="s">
        <v>15</v>
      </c>
      <c r="C57" s="14"/>
      <c r="D57" s="14"/>
      <c r="E57" s="14"/>
      <c r="F57" s="175"/>
      <c r="G57" s="105">
        <f t="shared" si="3"/>
        <v>0</v>
      </c>
      <c r="H57" s="114">
        <f>'Расчет (предшк.подготовка)'!H57+'Расчет (углуб.изуч.)'!H57</f>
        <v>0</v>
      </c>
      <c r="I57" s="114">
        <f>'Расчет (предшк.подготовка)'!I57+'Расчет (углуб.изуч.)'!I57</f>
        <v>0</v>
      </c>
      <c r="J57" s="114">
        <f>'Расчет (предшк.подготовка)'!J57+'Расчет (углуб.изуч.)'!J57</f>
        <v>0</v>
      </c>
      <c r="K57" s="298">
        <f>'Расчет (предшк.подготовка)'!K57+'Расчет (углуб.изуч.)'!K57</f>
        <v>0</v>
      </c>
      <c r="L57" s="245">
        <f t="shared" si="1"/>
        <v>0</v>
      </c>
      <c r="M57" s="78"/>
    </row>
    <row r="58" spans="1:16" s="8" customFormat="1" ht="15" customHeight="1">
      <c r="A58" s="235"/>
      <c r="B58" s="275" t="s">
        <v>60</v>
      </c>
      <c r="C58" s="23"/>
      <c r="D58" s="23"/>
      <c r="E58" s="23"/>
      <c r="F58" s="174"/>
      <c r="G58" s="105">
        <f t="shared" si="3"/>
        <v>0</v>
      </c>
      <c r="H58" s="114">
        <f>'Расчет (предшк.подготовка)'!H58+'Расчет (углуб.изуч.)'!H58</f>
        <v>0</v>
      </c>
      <c r="I58" s="114">
        <f>'Расчет (предшк.подготовка)'!I58+'Расчет (углуб.изуч.)'!I58</f>
        <v>0</v>
      </c>
      <c r="J58" s="114">
        <f>'Расчет (предшк.подготовка)'!J58+'Расчет (углуб.изуч.)'!J58</f>
        <v>0</v>
      </c>
      <c r="K58" s="298">
        <f>'Расчет (предшк.подготовка)'!K58+'Расчет (углуб.изуч.)'!K58</f>
        <v>0</v>
      </c>
      <c r="L58" s="245">
        <f t="shared" si="1"/>
        <v>0</v>
      </c>
      <c r="M58" s="78"/>
      <c r="O58" s="179">
        <f>P55+Q55+R55+S55+T55</f>
        <v>0</v>
      </c>
      <c r="P58" s="180">
        <f>O58-G48</f>
        <v>0</v>
      </c>
    </row>
    <row r="59" spans="1:17" s="8" customFormat="1" ht="15" customHeight="1">
      <c r="A59" s="235"/>
      <c r="B59" s="280" t="s">
        <v>16</v>
      </c>
      <c r="C59" s="14"/>
      <c r="D59" s="14"/>
      <c r="E59" s="14"/>
      <c r="F59" s="175"/>
      <c r="G59" s="106">
        <f t="shared" si="3"/>
        <v>0</v>
      </c>
      <c r="H59" s="114">
        <f>'Расчет (предшк.подготовка)'!H59+'Расчет (углуб.изуч.)'!H59</f>
        <v>0</v>
      </c>
      <c r="I59" s="114">
        <f>'Расчет (предшк.подготовка)'!I59+'Расчет (углуб.изуч.)'!I59</f>
        <v>0</v>
      </c>
      <c r="J59" s="114">
        <f>'Расчет (предшк.подготовка)'!J59+'Расчет (углуб.изуч.)'!J59</f>
        <v>0</v>
      </c>
      <c r="K59" s="298">
        <f>'Расчет (предшк.подготовка)'!K59+'Расчет (углуб.изуч.)'!K59</f>
        <v>0</v>
      </c>
      <c r="L59" s="246">
        <f t="shared" si="1"/>
        <v>0</v>
      </c>
      <c r="M59" s="45"/>
      <c r="Q59" s="8" t="s">
        <v>82</v>
      </c>
    </row>
    <row r="60" spans="1:21" s="6" customFormat="1" ht="15.75" customHeight="1">
      <c r="A60" s="234"/>
      <c r="B60" s="274" t="s">
        <v>44</v>
      </c>
      <c r="C60" s="20"/>
      <c r="D60" s="20"/>
      <c r="E60" s="20"/>
      <c r="F60" s="143"/>
      <c r="G60" s="101">
        <f t="shared" si="3"/>
        <v>364523</v>
      </c>
      <c r="H60" s="101">
        <f>SUM(H61:H64)+H71</f>
        <v>148508</v>
      </c>
      <c r="I60" s="101">
        <f>SUM(I61:I64)+I71</f>
        <v>54004</v>
      </c>
      <c r="J60" s="101">
        <f>SUM(J61:J64)+J71</f>
        <v>0</v>
      </c>
      <c r="K60" s="272">
        <f>SUM(K61:K64)+K71</f>
        <v>162011</v>
      </c>
      <c r="L60" s="243">
        <f t="shared" si="1"/>
        <v>26.11</v>
      </c>
      <c r="M60" s="78"/>
      <c r="R60" s="164"/>
      <c r="T60" s="164"/>
      <c r="U60" s="164"/>
    </row>
    <row r="61" spans="1:13" s="21" customFormat="1" ht="15" customHeight="1">
      <c r="A61" s="237"/>
      <c r="B61" s="275" t="s">
        <v>17</v>
      </c>
      <c r="C61" s="94"/>
      <c r="D61" s="94"/>
      <c r="E61" s="94"/>
      <c r="F61" s="161"/>
      <c r="G61" s="103">
        <f t="shared" si="3"/>
        <v>0</v>
      </c>
      <c r="H61" s="114">
        <f>'Расчет (предшк.подготовка)'!H61+'Расчет (углуб.изуч.)'!H61</f>
        <v>0</v>
      </c>
      <c r="I61" s="114">
        <f>'Расчет (предшк.подготовка)'!I61+'Расчет (углуб.изуч.)'!I61</f>
        <v>0</v>
      </c>
      <c r="J61" s="114">
        <f>'Расчет (предшк.подготовка)'!J61+'Расчет (углуб.изуч.)'!J61</f>
        <v>0</v>
      </c>
      <c r="K61" s="298">
        <f>'Расчет (предшк.подготовка)'!K61+'Расчет (углуб.изуч.)'!K61</f>
        <v>0</v>
      </c>
      <c r="L61" s="250">
        <f>'Расчет (предшк.подготовка)'!L61+'Расчет (углуб.изуч.)'!L61</f>
        <v>0</v>
      </c>
      <c r="M61" s="78"/>
    </row>
    <row r="62" spans="1:13" s="21" customFormat="1" ht="15" customHeight="1">
      <c r="A62" s="237"/>
      <c r="B62" s="280" t="s">
        <v>18</v>
      </c>
      <c r="C62" s="14"/>
      <c r="D62" s="14"/>
      <c r="E62" s="14"/>
      <c r="F62" s="24"/>
      <c r="G62" s="105">
        <f t="shared" si="3"/>
        <v>0</v>
      </c>
      <c r="H62" s="114">
        <f>'Расчет (предшк.подготовка)'!H62+'Расчет (углуб.изуч.)'!H62</f>
        <v>0</v>
      </c>
      <c r="I62" s="114">
        <f>'Расчет (предшк.подготовка)'!I62+'Расчет (углуб.изуч.)'!I62</f>
        <v>0</v>
      </c>
      <c r="J62" s="114">
        <f>'Расчет (предшк.подготовка)'!J62+'Расчет (углуб.изуч.)'!J62</f>
        <v>0</v>
      </c>
      <c r="K62" s="298">
        <f>'Расчет (предшк.подготовка)'!K62+'Расчет (углуб.изуч.)'!K62</f>
        <v>0</v>
      </c>
      <c r="L62" s="245">
        <f t="shared" si="1"/>
        <v>0</v>
      </c>
      <c r="M62" s="78"/>
    </row>
    <row r="63" spans="1:13" s="8" customFormat="1" ht="15" customHeight="1">
      <c r="A63" s="235"/>
      <c r="B63" s="280" t="s">
        <v>19</v>
      </c>
      <c r="C63" s="14"/>
      <c r="D63" s="14"/>
      <c r="E63" s="14"/>
      <c r="F63" s="24"/>
      <c r="G63" s="105">
        <f t="shared" si="3"/>
        <v>0</v>
      </c>
      <c r="H63" s="114">
        <f>'Расчет (предшк.подготовка)'!H63+'Расчет (углуб.изуч.)'!H63</f>
        <v>0</v>
      </c>
      <c r="I63" s="114">
        <f>'Расчет (предшк.подготовка)'!I63+'Расчет (углуб.изуч.)'!I63</f>
        <v>0</v>
      </c>
      <c r="J63" s="114">
        <f>'Расчет (предшк.подготовка)'!J63+'Расчет (углуб.изуч.)'!J63</f>
        <v>0</v>
      </c>
      <c r="K63" s="298">
        <f>'Расчет (предшк.подготовка)'!K63+'Расчет (углуб.изуч.)'!K63</f>
        <v>0</v>
      </c>
      <c r="L63" s="245">
        <f t="shared" si="1"/>
        <v>0</v>
      </c>
      <c r="M63" s="78"/>
    </row>
    <row r="64" spans="1:13" s="8" customFormat="1" ht="15" customHeight="1">
      <c r="A64" s="235"/>
      <c r="B64" s="280" t="s">
        <v>20</v>
      </c>
      <c r="C64" s="14"/>
      <c r="D64" s="14"/>
      <c r="E64" s="14"/>
      <c r="F64" s="24"/>
      <c r="G64" s="105">
        <f t="shared" si="3"/>
        <v>364523</v>
      </c>
      <c r="H64" s="99">
        <f>SUM(H65:H70)</f>
        <v>148508</v>
      </c>
      <c r="I64" s="99">
        <f>SUM(I65:I70)</f>
        <v>54004</v>
      </c>
      <c r="J64" s="99">
        <f>SUM(J65:J70)</f>
        <v>0</v>
      </c>
      <c r="K64" s="266">
        <f>SUM(K65:K70)</f>
        <v>162011</v>
      </c>
      <c r="L64" s="245">
        <f t="shared" si="1"/>
        <v>26.11</v>
      </c>
      <c r="M64" s="78"/>
    </row>
    <row r="65" spans="1:13" s="8" customFormat="1" ht="15" customHeight="1">
      <c r="A65" s="235"/>
      <c r="B65" s="280" t="s">
        <v>21</v>
      </c>
      <c r="C65" s="14"/>
      <c r="D65" s="14"/>
      <c r="E65" s="14"/>
      <c r="F65" s="24"/>
      <c r="G65" s="116">
        <f t="shared" si="3"/>
        <v>11668</v>
      </c>
      <c r="H65" s="116">
        <f>'Расчет (предшк.подготовка)'!H65+'Расчет (углуб.изуч.)'!H65</f>
        <v>7792</v>
      </c>
      <c r="I65" s="116">
        <f>'Расчет (предшк.подготовка)'!I65+'Расчет (углуб.изуч.)'!I65</f>
        <v>2476</v>
      </c>
      <c r="J65" s="116">
        <f>'Расчет (предшк.подготовка)'!J65+'Расчет (углуб.изуч.)'!J65</f>
        <v>0</v>
      </c>
      <c r="K65" s="299">
        <f>'Расчет (предшк.подготовка)'!K65+'Расчет (углуб.изуч.)'!K65</f>
        <v>1400</v>
      </c>
      <c r="L65" s="245">
        <f t="shared" si="1"/>
        <v>0.84</v>
      </c>
      <c r="M65" s="78"/>
    </row>
    <row r="66" spans="1:13" s="8" customFormat="1" ht="15" customHeight="1">
      <c r="A66" s="235"/>
      <c r="B66" s="280" t="s">
        <v>22</v>
      </c>
      <c r="C66" s="14"/>
      <c r="D66" s="14"/>
      <c r="E66" s="14"/>
      <c r="F66" s="24"/>
      <c r="G66" s="116">
        <f t="shared" si="3"/>
        <v>45771</v>
      </c>
      <c r="H66" s="116">
        <f>'Расчет (предшк.подготовка)'!H66+'Расчет (углуб.изуч.)'!H66</f>
        <v>15000</v>
      </c>
      <c r="I66" s="116">
        <f>'Расчет (предшк.подготовка)'!I66+'Расчет (углуб.изуч.)'!I66</f>
        <v>25000</v>
      </c>
      <c r="J66" s="116">
        <f>'Расчет (предшк.подготовка)'!J66+'Расчет (углуб.изуч.)'!J66</f>
        <v>0</v>
      </c>
      <c r="K66" s="299">
        <f>'Расчет (предшк.подготовка)'!K66+'Расчет (углуб.изуч.)'!K66</f>
        <v>5771</v>
      </c>
      <c r="L66" s="245">
        <f t="shared" si="1"/>
        <v>3.28</v>
      </c>
      <c r="M66" s="78"/>
    </row>
    <row r="67" spans="1:21" s="8" customFormat="1" ht="15" customHeight="1">
      <c r="A67" s="239"/>
      <c r="B67" s="300" t="s">
        <v>68</v>
      </c>
      <c r="C67" s="73"/>
      <c r="D67" s="73"/>
      <c r="E67" s="73"/>
      <c r="F67" s="140"/>
      <c r="G67" s="139">
        <f t="shared" si="3"/>
        <v>298503</v>
      </c>
      <c r="H67" s="116">
        <f>'Расчет (предшк.подготовка)'!H67+'Расчет (углуб.изуч.)'!H67</f>
        <v>122658</v>
      </c>
      <c r="I67" s="116">
        <f>'Расчет (предшк.подготовка)'!I67+'Расчет (углуб.изуч.)'!I67</f>
        <v>24605</v>
      </c>
      <c r="J67" s="116">
        <f>'Расчет (предшк.подготовка)'!J67+'Расчет (углуб.изуч.)'!J67</f>
        <v>0</v>
      </c>
      <c r="K67" s="299">
        <f>'Расчет (предшк.подготовка)'!K67+'Расчет (углуб.изуч.)'!K67</f>
        <v>151240</v>
      </c>
      <c r="L67" s="246">
        <f t="shared" si="1"/>
        <v>21.38</v>
      </c>
      <c r="M67" s="78"/>
      <c r="U67" s="1"/>
    </row>
    <row r="68" spans="2:13" s="8" customFormat="1" ht="15" customHeight="1">
      <c r="B68" s="275" t="s">
        <v>24</v>
      </c>
      <c r="C68" s="23"/>
      <c r="D68" s="23"/>
      <c r="E68" s="23"/>
      <c r="F68" s="125"/>
      <c r="G68" s="126">
        <f t="shared" si="3"/>
        <v>0</v>
      </c>
      <c r="H68" s="116">
        <f>'Расчет (предшк.подготовка)'!H68+'Расчет (углуб.изуч.)'!H68</f>
        <v>0</v>
      </c>
      <c r="I68" s="116">
        <f>'Расчет (предшк.подготовка)'!I68+'Расчет (углуб.изуч.)'!I68</f>
        <v>0</v>
      </c>
      <c r="J68" s="116">
        <f>'Расчет (предшк.подготовка)'!J68+'Расчет (углуб.изуч.)'!J68</f>
        <v>0</v>
      </c>
      <c r="K68" s="299">
        <f>'Расчет (предшк.подготовка)'!K68+'Расчет (углуб.изуч.)'!K68</f>
        <v>0</v>
      </c>
      <c r="L68" s="248">
        <f t="shared" si="1"/>
        <v>0</v>
      </c>
      <c r="M68" s="45"/>
    </row>
    <row r="69" spans="2:13" s="8" customFormat="1" ht="15" customHeight="1">
      <c r="B69" s="280" t="s">
        <v>25</v>
      </c>
      <c r="C69" s="14"/>
      <c r="D69" s="14"/>
      <c r="E69" s="14"/>
      <c r="F69" s="24"/>
      <c r="G69" s="116">
        <f t="shared" si="3"/>
        <v>6381</v>
      </c>
      <c r="H69" s="116">
        <f>'Расчет (предшк.подготовка)'!H69+'Расчет (углуб.изуч.)'!H69</f>
        <v>3058</v>
      </c>
      <c r="I69" s="116">
        <f>'Расчет (предшк.подготовка)'!I69+'Расчет (углуб.изуч.)'!I69</f>
        <v>1923</v>
      </c>
      <c r="J69" s="116">
        <f>'Расчет (предшк.подготовка)'!J69+'Расчет (углуб.изуч.)'!J69</f>
        <v>0</v>
      </c>
      <c r="K69" s="299">
        <f>'Расчет (предшк.подготовка)'!K69+'Расчет (углуб.изуч.)'!K69</f>
        <v>1400</v>
      </c>
      <c r="L69" s="245">
        <f t="shared" si="1"/>
        <v>0.46</v>
      </c>
      <c r="M69" s="45"/>
    </row>
    <row r="70" spans="2:13" s="8" customFormat="1" ht="15" customHeight="1">
      <c r="B70" s="301" t="s">
        <v>26</v>
      </c>
      <c r="C70" s="89"/>
      <c r="D70" s="89"/>
      <c r="E70" s="89"/>
      <c r="F70" s="90"/>
      <c r="G70" s="116">
        <f t="shared" si="3"/>
        <v>2200</v>
      </c>
      <c r="H70" s="116">
        <f>'Расчет (предшк.подготовка)'!H70+'Расчет (углуб.изуч.)'!H70</f>
        <v>0</v>
      </c>
      <c r="I70" s="116">
        <f>'Расчет (предшк.подготовка)'!I70+'Расчет (углуб.изуч.)'!I70</f>
        <v>0</v>
      </c>
      <c r="J70" s="116">
        <f>'Расчет (предшк.подготовка)'!J70+'Расчет (углуб.изуч.)'!J70</f>
        <v>0</v>
      </c>
      <c r="K70" s="299">
        <f>'Расчет (предшк.подготовка)'!K70+'Расчет (углуб.изуч.)'!K70</f>
        <v>2200</v>
      </c>
      <c r="L70" s="245">
        <f t="shared" si="1"/>
        <v>0.16</v>
      </c>
      <c r="M70" s="45"/>
    </row>
    <row r="71" spans="2:13" s="10" customFormat="1" ht="15" customHeight="1" thickBot="1">
      <c r="B71" s="302" t="s">
        <v>27</v>
      </c>
      <c r="C71" s="303"/>
      <c r="D71" s="303"/>
      <c r="E71" s="303"/>
      <c r="F71" s="304"/>
      <c r="G71" s="305">
        <f t="shared" si="3"/>
        <v>0</v>
      </c>
      <c r="H71" s="306">
        <f>'Расчет (предшк.подготовка)'!H71+'Расчет (углуб.изуч.)'!H71</f>
        <v>0</v>
      </c>
      <c r="I71" s="306">
        <f>'Расчет (предшк.подготовка)'!I71+'Расчет (углуб.изуч.)'!I71</f>
        <v>0</v>
      </c>
      <c r="J71" s="306">
        <f>'Расчет (предшк.подготовка)'!J71+'Расчет (углуб.изуч.)'!J71</f>
        <v>0</v>
      </c>
      <c r="K71" s="307">
        <f>'Расчет (предшк.подготовка)'!K71+'Расчет (углуб.изуч.)'!K71</f>
        <v>0</v>
      </c>
      <c r="L71" s="246">
        <f t="shared" si="1"/>
        <v>0</v>
      </c>
      <c r="M71" s="78"/>
    </row>
    <row r="72" spans="6:13" ht="12.75" customHeight="1">
      <c r="F72" s="2"/>
      <c r="G72" s="118"/>
      <c r="H72" s="118"/>
      <c r="I72" s="119"/>
      <c r="J72" s="118"/>
      <c r="K72" s="118"/>
      <c r="L72" s="74"/>
      <c r="M72" s="45"/>
    </row>
    <row r="73" spans="6:11" ht="12.75" customHeight="1">
      <c r="F73" s="2"/>
      <c r="G73" s="118"/>
      <c r="H73" s="118"/>
      <c r="I73" s="118"/>
      <c r="J73" s="118"/>
      <c r="K73" s="118"/>
    </row>
    <row r="74" spans="2:11" ht="12.75" customHeight="1">
      <c r="B74" s="56" t="s">
        <v>46</v>
      </c>
      <c r="F74" s="2"/>
      <c r="G74" s="118" t="s">
        <v>78</v>
      </c>
      <c r="H74" s="118"/>
      <c r="I74" s="119"/>
      <c r="J74" s="118"/>
      <c r="K74" s="118"/>
    </row>
    <row r="75" spans="3:11" ht="12.75" customHeight="1">
      <c r="C75" s="56"/>
      <c r="F75" s="2"/>
      <c r="G75" s="118"/>
      <c r="H75" s="118"/>
      <c r="I75" s="119"/>
      <c r="J75" s="118"/>
      <c r="K75" s="118"/>
    </row>
    <row r="76" spans="2:11" ht="12.75" customHeight="1">
      <c r="B76" s="56" t="s">
        <v>69</v>
      </c>
      <c r="F76" s="2"/>
      <c r="G76" s="118" t="s">
        <v>84</v>
      </c>
      <c r="H76" s="118"/>
      <c r="I76" s="119"/>
      <c r="J76" s="118"/>
      <c r="K76" s="118"/>
    </row>
    <row r="77" spans="6:13" ht="12.75" customHeight="1">
      <c r="F77" s="2"/>
      <c r="G77" s="118"/>
      <c r="H77" s="118"/>
      <c r="I77" s="119"/>
      <c r="J77" s="118"/>
      <c r="K77" s="118"/>
      <c r="L77" s="82"/>
      <c r="M77" s="29"/>
    </row>
    <row r="78" spans="6:11" ht="12.75" customHeight="1">
      <c r="F78" s="2"/>
      <c r="G78" s="172"/>
      <c r="H78" s="171"/>
      <c r="I78" s="172"/>
      <c r="J78" s="171"/>
      <c r="K78" s="171"/>
    </row>
    <row r="79" spans="3:12" ht="12.75" customHeight="1">
      <c r="C79" s="177" t="s">
        <v>47</v>
      </c>
      <c r="F79" s="2"/>
      <c r="G79" s="178">
        <f>G18-(G20+G24+G55+G60+G51)</f>
        <v>0</v>
      </c>
      <c r="H79" s="178">
        <f>H18-(H20+H24+H55+H60+H51)</f>
        <v>0</v>
      </c>
      <c r="I79" s="178">
        <f>I18-(I20+I24+I55+I60+I51)</f>
        <v>0</v>
      </c>
      <c r="J79" s="178">
        <f>J18-(J20+J24+J55+J60+J51)</f>
        <v>0</v>
      </c>
      <c r="K79" s="178">
        <f>K18-(K20+K24+K55+K60+K51)</f>
        <v>0</v>
      </c>
      <c r="L79" s="120">
        <f>L18-(L20+L24+L55+L60)</f>
        <v>0</v>
      </c>
    </row>
    <row r="80" spans="6:9" ht="12.75" customHeight="1">
      <c r="F80" s="2"/>
      <c r="G80" s="3"/>
      <c r="I80" s="3"/>
    </row>
    <row r="81" spans="6:9" ht="12.75" customHeight="1">
      <c r="F81" s="2"/>
      <c r="I81" s="3"/>
    </row>
    <row r="82" spans="6:9" ht="12.75" customHeight="1">
      <c r="F82" s="2"/>
      <c r="I82" s="3"/>
    </row>
    <row r="83" spans="6:9" ht="12.75" customHeight="1">
      <c r="F83" s="2"/>
      <c r="I83" s="3"/>
    </row>
    <row r="84" spans="6:9" ht="12.75" customHeight="1">
      <c r="F84" s="2"/>
      <c r="I84" s="3"/>
    </row>
    <row r="85" spans="6:9" ht="12.75" customHeight="1">
      <c r="F85" s="2"/>
      <c r="I85" s="3"/>
    </row>
    <row r="86" spans="6:9" ht="12.75" customHeight="1">
      <c r="F86" s="2"/>
      <c r="I86" s="3"/>
    </row>
    <row r="87" spans="6:9" ht="12.75" customHeight="1">
      <c r="F87" s="2"/>
      <c r="I87" s="3"/>
    </row>
  </sheetData>
  <sheetProtection/>
  <mergeCells count="2">
    <mergeCell ref="B2:L2"/>
    <mergeCell ref="H16:J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F20"/>
  <sheetViews>
    <sheetView zoomScalePageLayoutView="0" workbookViewId="0" topLeftCell="A16">
      <selection activeCell="A1" sqref="A1:E26"/>
    </sheetView>
  </sheetViews>
  <sheetFormatPr defaultColWidth="9.00390625" defaultRowHeight="12.75"/>
  <cols>
    <col min="3" max="3" width="42.375" style="0" customWidth="1"/>
    <col min="4" max="4" width="16.00390625" style="0" customWidth="1"/>
    <col min="5" max="5" width="9.625" style="0" bestFit="1" customWidth="1"/>
  </cols>
  <sheetData>
    <row r="1" ht="12.75">
      <c r="D1" s="1"/>
    </row>
    <row r="2" spans="2:4" ht="14.25">
      <c r="B2" s="317" t="s">
        <v>146</v>
      </c>
      <c r="C2" s="317"/>
      <c r="D2" s="317"/>
    </row>
    <row r="3" spans="2:4" ht="14.25">
      <c r="B3" s="317" t="s">
        <v>145</v>
      </c>
      <c r="C3" s="317"/>
      <c r="D3" s="317"/>
    </row>
    <row r="4" spans="3:4" ht="12.75">
      <c r="C4" s="210"/>
      <c r="D4" s="1"/>
    </row>
    <row r="5" spans="2:4" ht="12.75">
      <c r="B5" s="318" t="s">
        <v>147</v>
      </c>
      <c r="C5" s="318"/>
      <c r="D5" s="318"/>
    </row>
    <row r="6" spans="2:4" ht="15.75">
      <c r="B6" s="211"/>
      <c r="C6" s="212" t="s">
        <v>163</v>
      </c>
      <c r="D6" s="213"/>
    </row>
    <row r="7" spans="3:4" ht="12.75">
      <c r="C7" s="214"/>
      <c r="D7" s="215"/>
    </row>
    <row r="8" spans="2:4" ht="12.75">
      <c r="B8" s="189" t="s">
        <v>148</v>
      </c>
      <c r="C8" s="187" t="s">
        <v>149</v>
      </c>
      <c r="D8" s="188" t="s">
        <v>150</v>
      </c>
    </row>
    <row r="9" spans="2:6" ht="19.5" customHeight="1">
      <c r="B9" s="216">
        <v>1</v>
      </c>
      <c r="C9" s="217" t="s">
        <v>151</v>
      </c>
      <c r="D9" s="220">
        <f>'резерв (предшк.подгот)'!D9+'резерв (углуб.изуч.)'!D9</f>
        <v>76474.4</v>
      </c>
      <c r="F9" s="194"/>
    </row>
    <row r="10" spans="2:4" ht="25.5">
      <c r="B10" s="216">
        <v>2</v>
      </c>
      <c r="C10" s="219" t="s">
        <v>152</v>
      </c>
      <c r="D10" s="220">
        <f>D9*30.2%</f>
        <v>23095.27</v>
      </c>
    </row>
    <row r="11" spans="2:4" ht="24" customHeight="1">
      <c r="B11" s="216">
        <v>3</v>
      </c>
      <c r="C11" s="219" t="s">
        <v>153</v>
      </c>
      <c r="D11" s="220"/>
    </row>
    <row r="12" spans="2:4" ht="44.25" customHeight="1">
      <c r="B12" s="216">
        <v>4</v>
      </c>
      <c r="C12" s="219" t="s">
        <v>154</v>
      </c>
      <c r="D12" s="220">
        <f>D9+D10-D11</f>
        <v>99569.67</v>
      </c>
    </row>
    <row r="13" spans="2:4" ht="36" customHeight="1">
      <c r="B13" s="216">
        <v>5</v>
      </c>
      <c r="C13" s="219" t="s">
        <v>155</v>
      </c>
      <c r="D13" s="221">
        <f>'резерв (предшк.подгот)'!D13+'резерв (углуб.изуч.)'!D13</f>
        <v>458325</v>
      </c>
    </row>
    <row r="14" spans="2:6" ht="39.75" customHeight="1">
      <c r="B14" s="216">
        <v>6</v>
      </c>
      <c r="C14" s="219" t="s">
        <v>156</v>
      </c>
      <c r="D14" s="220">
        <f>D13*30.2%</f>
        <v>138414.15</v>
      </c>
      <c r="E14" s="194"/>
      <c r="F14" s="194"/>
    </row>
    <row r="15" spans="2:4" ht="53.25" customHeight="1">
      <c r="B15" s="216">
        <v>7</v>
      </c>
      <c r="C15" s="219" t="s">
        <v>157</v>
      </c>
      <c r="D15" s="220">
        <f>D13+D14</f>
        <v>596739.15</v>
      </c>
    </row>
    <row r="16" spans="2:4" ht="39.75" customHeight="1">
      <c r="B16" s="216">
        <v>8</v>
      </c>
      <c r="C16" s="219" t="s">
        <v>158</v>
      </c>
      <c r="D16" s="224">
        <f>D12/D15</f>
        <v>0.1669</v>
      </c>
    </row>
    <row r="17" spans="2:4" ht="54" customHeight="1">
      <c r="B17" s="216">
        <v>9</v>
      </c>
      <c r="C17" s="219" t="s">
        <v>159</v>
      </c>
      <c r="D17" s="223" t="s">
        <v>160</v>
      </c>
    </row>
    <row r="18" ht="12.75">
      <c r="D18" s="1"/>
    </row>
    <row r="19" ht="12.75">
      <c r="D19" s="1"/>
    </row>
    <row r="20" spans="2:4" ht="12.75">
      <c r="B20" t="s">
        <v>142</v>
      </c>
      <c r="D20" s="1" t="s">
        <v>161</v>
      </c>
    </row>
  </sheetData>
  <sheetProtection/>
  <mergeCells count="3">
    <mergeCell ref="B2:D2"/>
    <mergeCell ref="B3:D3"/>
    <mergeCell ref="B5:D5"/>
  </mergeCells>
  <printOptions/>
  <pageMargins left="0.7" right="0.7" top="0.75" bottom="0.75" header="0.3" footer="0.3"/>
  <pageSetup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2223E</dc:creator>
  <cp:keywords/>
  <dc:description/>
  <cp:lastModifiedBy>л</cp:lastModifiedBy>
  <cp:lastPrinted>2017-10-23T07:21:07Z</cp:lastPrinted>
  <dcterms:created xsi:type="dcterms:W3CDTF">2005-10-07T05:51:16Z</dcterms:created>
  <dcterms:modified xsi:type="dcterms:W3CDTF">2017-10-23T09:09:29Z</dcterms:modified>
  <cp:category/>
  <cp:version/>
  <cp:contentType/>
  <cp:contentStatus/>
</cp:coreProperties>
</file>